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9440" windowHeight="9975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</sheets>
  <calcPr calcId="124519"/>
</workbook>
</file>

<file path=xl/calcChain.xml><?xml version="1.0" encoding="utf-8"?>
<calcChain xmlns="http://schemas.openxmlformats.org/spreadsheetml/2006/main">
  <c r="L7" i="1"/>
  <c r="L6"/>
  <c r="L5"/>
  <c r="G8"/>
  <c r="H8"/>
  <c r="G6"/>
  <c r="H6"/>
  <c r="G7"/>
  <c r="H7"/>
  <c r="H5"/>
  <c r="G5"/>
  <c r="J7"/>
  <c r="J8" s="1"/>
  <c r="J6"/>
  <c r="J5"/>
  <c r="L8" l="1"/>
  <c r="N6"/>
  <c r="N7"/>
  <c r="N5"/>
  <c r="M8"/>
  <c r="K8"/>
  <c r="M15" i="5"/>
  <c r="M14"/>
  <c r="M13"/>
  <c r="L13"/>
  <c r="M12"/>
  <c r="L12"/>
  <c r="K12"/>
  <c r="K11"/>
  <c r="L11" s="1"/>
  <c r="M11" s="1"/>
  <c r="K8"/>
  <c r="L8" s="1"/>
  <c r="M8" s="1"/>
  <c r="M7"/>
  <c r="K6"/>
  <c r="L6" s="1"/>
  <c r="M6" s="1"/>
  <c r="M9" s="1"/>
  <c r="J5"/>
  <c r="I5"/>
  <c r="K5" s="1"/>
  <c r="D8"/>
  <c r="D4"/>
  <c r="I6" i="1"/>
  <c r="I7"/>
  <c r="F6"/>
  <c r="F7"/>
  <c r="F5"/>
  <c r="E8"/>
  <c r="Q20" i="4"/>
  <c r="P20"/>
  <c r="Q19"/>
  <c r="P19"/>
  <c r="Q18"/>
  <c r="P18"/>
  <c r="Q17"/>
  <c r="Q21" s="1"/>
  <c r="P17"/>
  <c r="P21" s="1"/>
  <c r="R7"/>
  <c r="Q7"/>
  <c r="P7"/>
  <c r="Q6"/>
  <c r="P6"/>
  <c r="P8" s="1"/>
  <c r="Q5"/>
  <c r="R5" s="1"/>
  <c r="P5"/>
  <c r="Q4"/>
  <c r="R4" s="1"/>
  <c r="P4"/>
  <c r="I8"/>
  <c r="H5"/>
  <c r="H6"/>
  <c r="H7"/>
  <c r="H4"/>
  <c r="G4"/>
  <c r="G7"/>
  <c r="G6"/>
  <c r="G5"/>
  <c r="G8"/>
  <c r="C8" i="1"/>
  <c r="P21" i="2"/>
  <c r="Q20"/>
  <c r="N21"/>
  <c r="M20"/>
  <c r="N20"/>
  <c r="J21"/>
  <c r="K20"/>
  <c r="J20"/>
  <c r="D8" i="1"/>
  <c r="H18" i="3"/>
  <c r="G18"/>
  <c r="H17"/>
  <c r="G17"/>
  <c r="H16"/>
  <c r="G16"/>
  <c r="H15"/>
  <c r="H19" s="1"/>
  <c r="G15"/>
  <c r="G19" s="1"/>
  <c r="P10"/>
  <c r="R9"/>
  <c r="Q8"/>
  <c r="P8"/>
  <c r="Q7"/>
  <c r="P7"/>
  <c r="Q6"/>
  <c r="P6"/>
  <c r="R6" s="1"/>
  <c r="Q5"/>
  <c r="Q9" s="1"/>
  <c r="P5"/>
  <c r="P9" s="1"/>
  <c r="I9"/>
  <c r="I6"/>
  <c r="I7"/>
  <c r="I8"/>
  <c r="I5"/>
  <c r="G10"/>
  <c r="H9"/>
  <c r="G9"/>
  <c r="H8"/>
  <c r="H6"/>
  <c r="H7"/>
  <c r="H5"/>
  <c r="G6"/>
  <c r="G7"/>
  <c r="G8"/>
  <c r="G5"/>
  <c r="B8" i="1"/>
  <c r="E13" i="2"/>
  <c r="E20"/>
  <c r="E14" s="1"/>
  <c r="P11"/>
  <c r="Q10"/>
  <c r="P10"/>
  <c r="K11"/>
  <c r="L10"/>
  <c r="K10"/>
  <c r="E11"/>
  <c r="F10"/>
  <c r="E10"/>
  <c r="I5" i="1" l="1"/>
  <c r="I8" s="1"/>
  <c r="N8"/>
  <c r="F8"/>
  <c r="R20" i="4"/>
  <c r="R19"/>
  <c r="R18"/>
  <c r="P22"/>
  <c r="R17"/>
  <c r="Q8"/>
  <c r="P9" s="1"/>
  <c r="R6"/>
  <c r="R8" s="1"/>
  <c r="H8"/>
  <c r="G9" s="1"/>
  <c r="I7"/>
  <c r="I6"/>
  <c r="I5"/>
  <c r="I4"/>
  <c r="I18" i="3"/>
  <c r="I17"/>
  <c r="I16"/>
  <c r="G20"/>
  <c r="I15"/>
  <c r="R7"/>
  <c r="R8"/>
  <c r="R5"/>
  <c r="R21" i="4" l="1"/>
  <c r="I19" i="3"/>
</calcChain>
</file>

<file path=xl/sharedStrings.xml><?xml version="1.0" encoding="utf-8"?>
<sst xmlns="http://schemas.openxmlformats.org/spreadsheetml/2006/main" count="97" uniqueCount="43">
  <si>
    <t xml:space="preserve">Сърница </t>
  </si>
  <si>
    <t>Побит камък</t>
  </si>
  <si>
    <t>Медени поляни</t>
  </si>
  <si>
    <t>Данъчни оценки</t>
  </si>
  <si>
    <t>Облог</t>
  </si>
  <si>
    <t>Приходи</t>
  </si>
  <si>
    <t>общо</t>
  </si>
  <si>
    <t>Мд</t>
  </si>
  <si>
    <t>зр</t>
  </si>
  <si>
    <t xml:space="preserve">незс в р </t>
  </si>
  <si>
    <t>зас изр</t>
  </si>
  <si>
    <t>нез из рег</t>
  </si>
  <si>
    <t>фз до жил</t>
  </si>
  <si>
    <t>нежил фз</t>
  </si>
  <si>
    <t>промили</t>
  </si>
  <si>
    <t xml:space="preserve">облог 1 </t>
  </si>
  <si>
    <t>f/.fh 2</t>
  </si>
  <si>
    <t xml:space="preserve">общо </t>
  </si>
  <si>
    <t>Пк</t>
  </si>
  <si>
    <t>сърница</t>
  </si>
  <si>
    <t>юл до жил</t>
  </si>
  <si>
    <t>нежил юл</t>
  </si>
  <si>
    <t>пров2</t>
  </si>
  <si>
    <t>пк</t>
  </si>
  <si>
    <t>мп</t>
  </si>
  <si>
    <t>Транспортдепо</t>
  </si>
  <si>
    <t>Разходи</t>
  </si>
  <si>
    <t>Приложение 1</t>
  </si>
  <si>
    <t xml:space="preserve">Събиране, включително разделно, на битовите отпадъци и транспортирането им до депата или други инсталации и съоръжения за третирането им
</t>
  </si>
  <si>
    <t>Проучване, проектиране, изграждане, поддържане, експлоатация, закриване и мониторинг на депата за битови отпадъци или други инсталации или съоръжения за обезвреждане, рециклиране и оползотворяване на битови отпадъци, включително отчисленията по чл. 60 и 64 от Закона за управление на отпадъците</t>
  </si>
  <si>
    <t>Поддържане чистота на териториите за обществено ползване</t>
  </si>
  <si>
    <t>осигуряване на съдове за съхраняване на битовите отпадъци - контейнери, кофи и други</t>
  </si>
  <si>
    <t xml:space="preserve">Община Сърница прогнозира събираемост на Такса битови отпадъци през 2017 година в размер на 114 824.60 лева. Сумата от 133 943.40 лева ще бъде дофинансирана от други местни приходи.
</t>
  </si>
  <si>
    <t>Данъчна оценка за физически лица</t>
  </si>
  <si>
    <t>Данъчна оценка Юридически лица</t>
  </si>
  <si>
    <t xml:space="preserve">Облог за Физически лица </t>
  </si>
  <si>
    <t>Облог за юридически лица</t>
  </si>
  <si>
    <t>ОБЩО ОБЛОГ</t>
  </si>
  <si>
    <t>Такса битови отпадъци - Физ. Лица</t>
  </si>
  <si>
    <t>Такса битови отпадъци - Юрид. Лица</t>
  </si>
  <si>
    <t>ОБЩО приходи:</t>
  </si>
  <si>
    <t>Населено място</t>
  </si>
  <si>
    <t>* Всички суми са в лева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</si>
</sst>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" fontId="1" fillId="0" borderId="0" xfId="0" applyNumberFormat="1" applyFont="1"/>
    <xf numFmtId="0" fontId="0" fillId="2" borderId="0" xfId="0" applyFill="1"/>
    <xf numFmtId="0" fontId="2" fillId="2" borderId="1" xfId="0" applyFont="1" applyFill="1" applyBorder="1"/>
    <xf numFmtId="4" fontId="2" fillId="2" borderId="1" xfId="0" applyNumberFormat="1" applyFont="1" applyFill="1" applyBorder="1"/>
    <xf numFmtId="0" fontId="4" fillId="0" borderId="0" xfId="0" applyFont="1"/>
    <xf numFmtId="0" fontId="2" fillId="2" borderId="1" xfId="0" applyFont="1" applyFill="1" applyBorder="1" applyAlignment="1">
      <alignment wrapText="1"/>
    </xf>
    <xf numFmtId="2" fontId="2" fillId="2" borderId="1" xfId="0" applyNumberFormat="1" applyFont="1" applyFill="1" applyBorder="1" applyAlignment="1">
      <alignment wrapText="1"/>
    </xf>
    <xf numFmtId="0" fontId="2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 wrapText="1"/>
    </xf>
  </cellXfs>
  <cellStyles count="1">
    <cellStyle name="Нормален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4"/>
  <sheetViews>
    <sheetView tabSelected="1" workbookViewId="0">
      <selection activeCell="I11" sqref="I11"/>
    </sheetView>
  </sheetViews>
  <sheetFormatPr defaultRowHeight="15"/>
  <cols>
    <col min="1" max="1" width="16.5703125" customWidth="1"/>
    <col min="2" max="9" width="14.7109375" customWidth="1"/>
    <col min="10" max="10" width="15.42578125" customWidth="1"/>
    <col min="11" max="13" width="18" customWidth="1"/>
    <col min="19" max="19" width="10" bestFit="1" customWidth="1"/>
  </cols>
  <sheetData>
    <row r="1" spans="1:14" ht="18.75">
      <c r="B1" s="5" t="s">
        <v>27</v>
      </c>
    </row>
    <row r="2" spans="1:1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5.75">
      <c r="A3" s="3"/>
      <c r="B3" s="8" t="s">
        <v>3</v>
      </c>
      <c r="C3" s="8"/>
      <c r="D3" s="8" t="s">
        <v>4</v>
      </c>
      <c r="E3" s="8"/>
      <c r="F3" s="8"/>
      <c r="G3" s="8" t="s">
        <v>5</v>
      </c>
      <c r="H3" s="8"/>
      <c r="I3" s="8"/>
      <c r="J3" s="8" t="s">
        <v>26</v>
      </c>
      <c r="K3" s="8"/>
      <c r="L3" s="8"/>
      <c r="M3" s="8"/>
      <c r="N3" s="3"/>
    </row>
    <row r="4" spans="1:14" ht="378">
      <c r="A4" s="3" t="s">
        <v>41</v>
      </c>
      <c r="B4" s="7" t="s">
        <v>33</v>
      </c>
      <c r="C4" s="7" t="s">
        <v>34</v>
      </c>
      <c r="D4" s="7" t="s">
        <v>35</v>
      </c>
      <c r="E4" s="7" t="s">
        <v>36</v>
      </c>
      <c r="F4" s="7" t="s">
        <v>37</v>
      </c>
      <c r="G4" s="7" t="s">
        <v>38</v>
      </c>
      <c r="H4" s="7" t="s">
        <v>39</v>
      </c>
      <c r="I4" s="7" t="s">
        <v>40</v>
      </c>
      <c r="J4" s="6" t="s">
        <v>31</v>
      </c>
      <c r="K4" s="6" t="s">
        <v>28</v>
      </c>
      <c r="L4" s="6" t="s">
        <v>29</v>
      </c>
      <c r="M4" s="6" t="s">
        <v>30</v>
      </c>
      <c r="N4" s="3" t="s">
        <v>6</v>
      </c>
    </row>
    <row r="5" spans="1:14" ht="15.75">
      <c r="A5" s="3" t="s">
        <v>0</v>
      </c>
      <c r="B5" s="4">
        <v>11884602.1</v>
      </c>
      <c r="C5" s="4">
        <v>13173267.5</v>
      </c>
      <c r="D5" s="4">
        <v>64019.839999999997</v>
      </c>
      <c r="E5" s="4">
        <v>89021.64</v>
      </c>
      <c r="F5" s="4">
        <f>D5+E5</f>
        <v>153041.47999999998</v>
      </c>
      <c r="G5" s="4">
        <f>0.7*D5</f>
        <v>44813.887999999992</v>
      </c>
      <c r="H5" s="4">
        <f>0.7*E5</f>
        <v>62315.147999999994</v>
      </c>
      <c r="I5" s="4">
        <f>G5+H5</f>
        <v>107129.03599999999</v>
      </c>
      <c r="J5" s="3">
        <f>0.8*49000</f>
        <v>39200</v>
      </c>
      <c r="K5" s="3">
        <v>58146</v>
      </c>
      <c r="L5" s="3">
        <f>700*82.43</f>
        <v>57701.000000000007</v>
      </c>
      <c r="M5" s="3">
        <v>8000</v>
      </c>
      <c r="N5" s="3">
        <f>J5+K5+L5+M5</f>
        <v>163047</v>
      </c>
    </row>
    <row r="6" spans="1:14" ht="15.75">
      <c r="A6" s="3" t="s">
        <v>1</v>
      </c>
      <c r="B6" s="4">
        <v>292108.09999999998</v>
      </c>
      <c r="C6" s="4">
        <v>580779.39</v>
      </c>
      <c r="D6" s="4">
        <v>3889.55</v>
      </c>
      <c r="E6" s="4">
        <v>1283.24</v>
      </c>
      <c r="F6" s="4">
        <f t="shared" ref="F6:F7" si="0">D6+E6</f>
        <v>5172.79</v>
      </c>
      <c r="G6" s="4">
        <f t="shared" ref="G6:G7" si="1">0.7*D6</f>
        <v>2722.6849999999999</v>
      </c>
      <c r="H6" s="4">
        <f t="shared" ref="H6:H7" si="2">0.7*E6</f>
        <v>898.26799999999992</v>
      </c>
      <c r="I6" s="4">
        <f t="shared" ref="I6:I7" si="3">G6+H6</f>
        <v>3620.953</v>
      </c>
      <c r="J6" s="3">
        <f>0.1*49000</f>
        <v>4900</v>
      </c>
      <c r="K6" s="3">
        <v>14536</v>
      </c>
      <c r="L6" s="3">
        <f>250*82.43</f>
        <v>20607.5</v>
      </c>
      <c r="M6" s="3">
        <v>1000</v>
      </c>
      <c r="N6" s="3">
        <f t="shared" ref="N6:N8" si="4">J6+K6+L6+M6</f>
        <v>41043.5</v>
      </c>
    </row>
    <row r="7" spans="1:14" ht="15.75">
      <c r="A7" s="3" t="s">
        <v>2</v>
      </c>
      <c r="B7" s="4">
        <v>520689.1</v>
      </c>
      <c r="C7" s="4">
        <v>167241.85</v>
      </c>
      <c r="D7" s="4">
        <v>2102.34</v>
      </c>
      <c r="E7" s="4">
        <v>3718.53</v>
      </c>
      <c r="F7" s="4">
        <f t="shared" si="0"/>
        <v>5820.8700000000008</v>
      </c>
      <c r="G7" s="4">
        <f t="shared" si="1"/>
        <v>1471.6379999999999</v>
      </c>
      <c r="H7" s="4">
        <f t="shared" si="2"/>
        <v>2602.971</v>
      </c>
      <c r="I7" s="4">
        <f t="shared" si="3"/>
        <v>4074.6089999999999</v>
      </c>
      <c r="J7" s="3">
        <f>0.1*49000</f>
        <v>4900</v>
      </c>
      <c r="K7" s="3">
        <v>18170</v>
      </c>
      <c r="L7" s="3">
        <f>250*82.43</f>
        <v>20607.5</v>
      </c>
      <c r="M7" s="3">
        <v>1000</v>
      </c>
      <c r="N7" s="3">
        <f t="shared" si="4"/>
        <v>44677.5</v>
      </c>
    </row>
    <row r="8" spans="1:14" ht="15.75">
      <c r="A8" s="3"/>
      <c r="B8" s="4">
        <f>SUM(B5:B7)</f>
        <v>12697399.299999999</v>
      </c>
      <c r="C8" s="4">
        <f>SUM(C5:C7)</f>
        <v>13921288.74</v>
      </c>
      <c r="D8" s="4">
        <f>SUM(D5:D7)</f>
        <v>70011.73</v>
      </c>
      <c r="E8" s="4">
        <f>SUM(E5:E7)</f>
        <v>94023.41</v>
      </c>
      <c r="F8" s="4">
        <f>SUM(F5:F7)</f>
        <v>164035.13999999998</v>
      </c>
      <c r="G8" s="4">
        <f>0.7*D8</f>
        <v>49008.210999999996</v>
      </c>
      <c r="H8" s="4">
        <f>0.7*E8</f>
        <v>65816.387000000002</v>
      </c>
      <c r="I8" s="4">
        <f>SUM(I5:I7)</f>
        <v>114824.59799999998</v>
      </c>
      <c r="J8" s="3">
        <f>SUM(J5:J7)</f>
        <v>49000</v>
      </c>
      <c r="K8" s="3">
        <f>SUM(K5:K7)</f>
        <v>90852</v>
      </c>
      <c r="L8" s="3">
        <f>SUM(L5:L7)</f>
        <v>98916</v>
      </c>
      <c r="M8" s="3">
        <f>SUM(M5:M7)</f>
        <v>10000</v>
      </c>
      <c r="N8" s="3">
        <f t="shared" si="4"/>
        <v>248768</v>
      </c>
    </row>
    <row r="9" spans="1:14">
      <c r="B9" s="1"/>
    </row>
    <row r="11" spans="1:14" ht="15.75" customHeight="1">
      <c r="A11" s="9" t="s">
        <v>32</v>
      </c>
      <c r="B11" s="9"/>
      <c r="C11" s="9"/>
      <c r="D11" s="9"/>
      <c r="E11" s="9"/>
      <c r="F11" s="9"/>
      <c r="G11" s="9"/>
    </row>
    <row r="12" spans="1:14">
      <c r="A12" s="9"/>
      <c r="B12" s="9"/>
      <c r="C12" s="9"/>
      <c r="D12" s="9"/>
      <c r="E12" s="9"/>
      <c r="F12" s="9"/>
      <c r="G12" s="9"/>
    </row>
    <row r="13" spans="1:14">
      <c r="A13" s="9"/>
      <c r="B13" s="9"/>
      <c r="C13" s="9"/>
      <c r="D13" s="9"/>
      <c r="E13" s="9"/>
      <c r="F13" s="9"/>
      <c r="G13" s="9"/>
    </row>
    <row r="14" spans="1:14">
      <c r="A14" t="s">
        <v>42</v>
      </c>
    </row>
  </sheetData>
  <mergeCells count="5">
    <mergeCell ref="B3:C3"/>
    <mergeCell ref="D3:F3"/>
    <mergeCell ref="G3:I3"/>
    <mergeCell ref="J3:M3"/>
    <mergeCell ref="A11:G13"/>
  </mergeCells>
  <pageMargins left="0.70866141732283472" right="0.70866141732283472" top="0.74803149606299213" bottom="0.74803149606299213" header="0.31496062992125984" footer="0.31496062992125984"/>
  <pageSetup paperSize="9" scale="61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E6:Q21"/>
  <sheetViews>
    <sheetView workbookViewId="0">
      <selection activeCell="P22" sqref="P22"/>
    </sheetView>
  </sheetViews>
  <sheetFormatPr defaultRowHeight="15"/>
  <cols>
    <col min="5" max="5" width="11" bestFit="1" customWidth="1"/>
    <col min="6" max="6" width="10" bestFit="1" customWidth="1"/>
    <col min="10" max="10" width="10" bestFit="1" customWidth="1"/>
    <col min="11" max="11" width="11" bestFit="1" customWidth="1"/>
  </cols>
  <sheetData>
    <row r="6" spans="5:17">
      <c r="E6">
        <v>8782849.1999999993</v>
      </c>
      <c r="F6">
        <v>701875.6</v>
      </c>
    </row>
    <row r="7" spans="5:17">
      <c r="E7">
        <v>971008.7</v>
      </c>
      <c r="F7">
        <v>205975.6</v>
      </c>
      <c r="K7">
        <v>200960.9</v>
      </c>
      <c r="L7">
        <v>21776.6</v>
      </c>
      <c r="P7">
        <v>353855.6</v>
      </c>
      <c r="Q7">
        <v>43720</v>
      </c>
    </row>
    <row r="8" spans="5:17">
      <c r="E8">
        <v>135562.70000000001</v>
      </c>
      <c r="F8">
        <v>564610.5</v>
      </c>
      <c r="K8">
        <v>29168.1</v>
      </c>
      <c r="L8">
        <v>979.4</v>
      </c>
      <c r="P8">
        <v>34569.199999999997</v>
      </c>
      <c r="Q8">
        <v>34356.1</v>
      </c>
    </row>
    <row r="9" spans="5:17">
      <c r="E9">
        <v>80029.899999999994</v>
      </c>
      <c r="F9">
        <v>91050</v>
      </c>
      <c r="K9">
        <v>19652.8</v>
      </c>
      <c r="L9">
        <v>1530.4</v>
      </c>
      <c r="P9">
        <v>48035.199999999997</v>
      </c>
      <c r="Q9">
        <v>3051.8</v>
      </c>
    </row>
    <row r="10" spans="5:17">
      <c r="E10">
        <f>SUM(E6:E9)</f>
        <v>9969450.4999999981</v>
      </c>
      <c r="F10">
        <f>SUM(F6:F9)</f>
        <v>1563511.7</v>
      </c>
      <c r="K10">
        <f>SUM(K7:K9)</f>
        <v>249781.8</v>
      </c>
      <c r="L10">
        <f>SUM(L7:L9)</f>
        <v>24286.400000000001</v>
      </c>
      <c r="P10">
        <f>SUM(P7:P9)</f>
        <v>436460</v>
      </c>
      <c r="Q10">
        <f>SUM(Q7:Q9)</f>
        <v>81127.900000000009</v>
      </c>
    </row>
    <row r="11" spans="5:17">
      <c r="E11">
        <f>E10+F10</f>
        <v>11532962.199999997</v>
      </c>
      <c r="K11">
        <f>K10+L10</f>
        <v>274068.2</v>
      </c>
      <c r="P11">
        <f>P10+Q10</f>
        <v>517587.9</v>
      </c>
    </row>
    <row r="13" spans="5:17">
      <c r="E13">
        <f>E11+K11+P11</f>
        <v>12324618.299999997</v>
      </c>
    </row>
    <row r="14" spans="5:17">
      <c r="E14">
        <f>E20-E13</f>
        <v>0</v>
      </c>
    </row>
    <row r="16" spans="5:17">
      <c r="J16">
        <v>124041.3</v>
      </c>
      <c r="K16">
        <v>2694025.13</v>
      </c>
      <c r="N16">
        <v>66088.14</v>
      </c>
      <c r="Q16">
        <v>68803.199999999997</v>
      </c>
    </row>
    <row r="17" spans="5:17">
      <c r="E17">
        <v>10655692.300000001</v>
      </c>
      <c r="J17">
        <v>16614</v>
      </c>
      <c r="K17">
        <v>237653.57</v>
      </c>
      <c r="N17">
        <v>2210.9</v>
      </c>
      <c r="Q17">
        <v>140</v>
      </c>
    </row>
    <row r="18" spans="5:17">
      <c r="E18">
        <v>1668926</v>
      </c>
      <c r="J18">
        <v>33914.6</v>
      </c>
      <c r="K18">
        <v>2807676.37</v>
      </c>
      <c r="M18">
        <v>33011.300000000003</v>
      </c>
      <c r="N18">
        <v>301025.55</v>
      </c>
      <c r="P18">
        <v>634.1</v>
      </c>
      <c r="Q18">
        <v>37737.800000000003</v>
      </c>
    </row>
    <row r="19" spans="5:17">
      <c r="J19">
        <v>0</v>
      </c>
      <c r="K19">
        <v>813543.43</v>
      </c>
      <c r="N19">
        <v>11972.2</v>
      </c>
      <c r="Q19">
        <v>0</v>
      </c>
    </row>
    <row r="20" spans="5:17">
      <c r="E20">
        <f>SUM(E17:E19)</f>
        <v>12324618.300000001</v>
      </c>
      <c r="J20">
        <f>SUM(J16:J19)</f>
        <v>174569.9</v>
      </c>
      <c r="K20">
        <f>SUM(K16:K19)</f>
        <v>6552898.5</v>
      </c>
      <c r="M20">
        <f>SUM(M16:M19)</f>
        <v>33011.300000000003</v>
      </c>
      <c r="N20">
        <f>SUM(N16:N19)</f>
        <v>381296.79</v>
      </c>
      <c r="Q20">
        <f>SUM(Q16:Q19)</f>
        <v>106681</v>
      </c>
    </row>
    <row r="21" spans="5:17">
      <c r="J21">
        <f>J20+K20</f>
        <v>6727468.4000000004</v>
      </c>
      <c r="N21">
        <f>M20+N20</f>
        <v>414308.08999999997</v>
      </c>
      <c r="P21">
        <f>Q20+P18</f>
        <v>107315.1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C4:R20"/>
  <sheetViews>
    <sheetView workbookViewId="0">
      <selection activeCell="C4" sqref="C4:I10"/>
    </sheetView>
  </sheetViews>
  <sheetFormatPr defaultRowHeight="15"/>
  <cols>
    <col min="4" max="4" width="10" bestFit="1" customWidth="1"/>
  </cols>
  <sheetData>
    <row r="4" spans="3:18">
      <c r="C4" t="s">
        <v>7</v>
      </c>
      <c r="D4" t="s">
        <v>12</v>
      </c>
      <c r="E4" t="s">
        <v>13</v>
      </c>
      <c r="F4" t="s">
        <v>14</v>
      </c>
      <c r="G4" t="s">
        <v>15</v>
      </c>
      <c r="H4" t="s">
        <v>16</v>
      </c>
      <c r="I4" t="s">
        <v>17</v>
      </c>
      <c r="L4" t="s">
        <v>18</v>
      </c>
      <c r="M4" t="s">
        <v>12</v>
      </c>
      <c r="N4" t="s">
        <v>13</v>
      </c>
      <c r="O4" t="s">
        <v>14</v>
      </c>
      <c r="P4" t="s">
        <v>15</v>
      </c>
      <c r="Q4" t="s">
        <v>16</v>
      </c>
      <c r="R4" t="s">
        <v>17</v>
      </c>
    </row>
    <row r="5" spans="3:18">
      <c r="C5" t="s">
        <v>8</v>
      </c>
      <c r="D5">
        <v>353855.6</v>
      </c>
      <c r="E5">
        <v>43720</v>
      </c>
      <c r="F5">
        <v>8</v>
      </c>
      <c r="G5">
        <f>D5*F5/1000</f>
        <v>2830.8447999999999</v>
      </c>
      <c r="H5">
        <f>E5*F5/1000</f>
        <v>349.76</v>
      </c>
      <c r="I5">
        <f>G5+H5</f>
        <v>3180.6048000000001</v>
      </c>
      <c r="L5" t="s">
        <v>8</v>
      </c>
      <c r="M5">
        <v>200960.9</v>
      </c>
      <c r="N5">
        <v>21776.6</v>
      </c>
      <c r="O5">
        <v>8</v>
      </c>
      <c r="P5">
        <f>M5*O5/1000</f>
        <v>1607.6871999999998</v>
      </c>
      <c r="Q5">
        <f>N5*O5/1000</f>
        <v>174.21279999999999</v>
      </c>
      <c r="R5">
        <f>P5+Q5</f>
        <v>1781.8999999999999</v>
      </c>
    </row>
    <row r="6" spans="3:18">
      <c r="C6" t="s">
        <v>9</v>
      </c>
      <c r="D6">
        <v>34569.199999999997</v>
      </c>
      <c r="F6">
        <v>0.6</v>
      </c>
      <c r="G6">
        <f t="shared" ref="G6:G8" si="0">D6*F6/1000</f>
        <v>20.741519999999998</v>
      </c>
      <c r="H6">
        <f t="shared" ref="H6:H7" si="1">E6*F6/1000</f>
        <v>0</v>
      </c>
      <c r="I6">
        <f t="shared" ref="I6:I8" si="2">G6+H6</f>
        <v>20.741519999999998</v>
      </c>
      <c r="L6" t="s">
        <v>9</v>
      </c>
      <c r="M6">
        <v>29168.1</v>
      </c>
      <c r="O6">
        <v>0.6</v>
      </c>
      <c r="P6">
        <f t="shared" ref="P6:P8" si="3">M6*O6/1000</f>
        <v>17.500859999999996</v>
      </c>
      <c r="Q6">
        <f t="shared" ref="Q6:Q7" si="4">N6*O6/1000</f>
        <v>0</v>
      </c>
      <c r="R6">
        <f t="shared" ref="R6:R8" si="5">P6+Q6</f>
        <v>17.500859999999996</v>
      </c>
    </row>
    <row r="7" spans="3:18">
      <c r="C7" t="s">
        <v>10</v>
      </c>
      <c r="D7">
        <v>48035</v>
      </c>
      <c r="E7">
        <v>34356.1</v>
      </c>
      <c r="F7">
        <v>0.6</v>
      </c>
      <c r="G7">
        <f t="shared" si="0"/>
        <v>28.821000000000002</v>
      </c>
      <c r="H7">
        <f t="shared" si="1"/>
        <v>20.613659999999999</v>
      </c>
      <c r="I7">
        <f t="shared" si="2"/>
        <v>49.434660000000001</v>
      </c>
      <c r="L7" t="s">
        <v>10</v>
      </c>
      <c r="M7">
        <v>19652.8</v>
      </c>
      <c r="N7">
        <v>979.4</v>
      </c>
      <c r="O7">
        <v>0.6</v>
      </c>
      <c r="P7">
        <f t="shared" si="3"/>
        <v>11.791679999999998</v>
      </c>
      <c r="Q7">
        <f t="shared" si="4"/>
        <v>0.58763999999999994</v>
      </c>
      <c r="R7">
        <f t="shared" si="5"/>
        <v>12.379319999999998</v>
      </c>
    </row>
    <row r="8" spans="3:18">
      <c r="C8" t="s">
        <v>11</v>
      </c>
      <c r="D8">
        <v>0</v>
      </c>
      <c r="E8">
        <v>3051.8</v>
      </c>
      <c r="F8">
        <v>0.6</v>
      </c>
      <c r="G8">
        <f t="shared" si="0"/>
        <v>0</v>
      </c>
      <c r="H8">
        <f>E8*F8/1000</f>
        <v>1.8310800000000003</v>
      </c>
      <c r="I8">
        <f t="shared" si="2"/>
        <v>1.8310800000000003</v>
      </c>
      <c r="L8" t="s">
        <v>11</v>
      </c>
      <c r="N8">
        <v>1530.4</v>
      </c>
      <c r="O8">
        <v>0.6</v>
      </c>
      <c r="P8">
        <f t="shared" si="3"/>
        <v>0</v>
      </c>
      <c r="Q8">
        <f>N8*O8/1000</f>
        <v>0.91824000000000006</v>
      </c>
      <c r="R8">
        <f t="shared" si="5"/>
        <v>0.91824000000000006</v>
      </c>
    </row>
    <row r="9" spans="3:18">
      <c r="G9">
        <f>SUM(G5:G8)</f>
        <v>2880.4073199999998</v>
      </c>
      <c r="H9">
        <f>SUM(H5:H8)</f>
        <v>372.20473999999996</v>
      </c>
      <c r="I9">
        <f>SUM(I5:I8)</f>
        <v>3252.6120599999999</v>
      </c>
      <c r="P9">
        <f>SUM(P5:P8)</f>
        <v>1636.97974</v>
      </c>
      <c r="Q9">
        <f>SUM(Q5:Q8)</f>
        <v>175.71867999999998</v>
      </c>
      <c r="R9">
        <f>SUM(R5:R8)</f>
        <v>1812.6984199999999</v>
      </c>
    </row>
    <row r="10" spans="3:18">
      <c r="G10">
        <f>G9+H9</f>
        <v>3252.6120599999999</v>
      </c>
      <c r="P10">
        <f>P9+Q9</f>
        <v>1812.6984199999999</v>
      </c>
    </row>
    <row r="14" spans="3:18">
      <c r="C14" t="s">
        <v>19</v>
      </c>
      <c r="D14" t="s">
        <v>12</v>
      </c>
      <c r="E14" t="s">
        <v>13</v>
      </c>
      <c r="F14" t="s">
        <v>14</v>
      </c>
      <c r="G14" t="s">
        <v>15</v>
      </c>
      <c r="H14" t="s">
        <v>16</v>
      </c>
      <c r="I14" t="s">
        <v>17</v>
      </c>
    </row>
    <row r="15" spans="3:18">
      <c r="C15" t="s">
        <v>8</v>
      </c>
      <c r="D15">
        <v>8782849.1999999993</v>
      </c>
      <c r="E15">
        <v>701875.6</v>
      </c>
      <c r="F15">
        <v>2.41</v>
      </c>
      <c r="G15">
        <f>D15*F15/1000</f>
        <v>21166.666572000002</v>
      </c>
      <c r="H15">
        <f>E15*F15/1000</f>
        <v>1691.5201959999999</v>
      </c>
      <c r="I15">
        <f>G15+H15</f>
        <v>22858.186768000003</v>
      </c>
    </row>
    <row r="16" spans="3:18">
      <c r="C16" t="s">
        <v>9</v>
      </c>
      <c r="D16">
        <v>971008.7</v>
      </c>
      <c r="E16">
        <v>205975.6</v>
      </c>
      <c r="F16">
        <v>0.6</v>
      </c>
      <c r="G16">
        <f t="shared" ref="G16:G18" si="6">D16*F16/1000</f>
        <v>582.60521999999992</v>
      </c>
      <c r="H16">
        <f t="shared" ref="H16:H17" si="7">E16*F16/1000</f>
        <v>123.58535999999999</v>
      </c>
      <c r="I16">
        <f t="shared" ref="I16:I18" si="8">G16+H16</f>
        <v>706.19057999999995</v>
      </c>
    </row>
    <row r="17" spans="3:9">
      <c r="C17" t="s">
        <v>10</v>
      </c>
      <c r="D17">
        <v>135562.70000000001</v>
      </c>
      <c r="E17">
        <v>564610.5</v>
      </c>
      <c r="F17">
        <v>0.6</v>
      </c>
      <c r="G17">
        <f t="shared" si="6"/>
        <v>81.337620000000015</v>
      </c>
      <c r="H17">
        <f t="shared" si="7"/>
        <v>338.7663</v>
      </c>
      <c r="I17">
        <f t="shared" si="8"/>
        <v>420.10392000000002</v>
      </c>
    </row>
    <row r="18" spans="3:9">
      <c r="C18" t="s">
        <v>11</v>
      </c>
      <c r="D18">
        <v>80029.899999999994</v>
      </c>
      <c r="E18">
        <v>91050</v>
      </c>
      <c r="F18">
        <v>0.6</v>
      </c>
      <c r="G18">
        <f t="shared" si="6"/>
        <v>48.017939999999996</v>
      </c>
      <c r="H18">
        <f>E18*F18/1000</f>
        <v>54.63</v>
      </c>
      <c r="I18">
        <f t="shared" si="8"/>
        <v>102.64794000000001</v>
      </c>
    </row>
    <row r="19" spans="3:9">
      <c r="G19">
        <f>SUM(G15:G18)</f>
        <v>21878.627352000003</v>
      </c>
      <c r="H19">
        <f>SUM(H15:H18)</f>
        <v>2208.5018559999999</v>
      </c>
      <c r="I19">
        <f>SUM(I15:I18)</f>
        <v>24087.129208000002</v>
      </c>
    </row>
    <row r="20" spans="3:9">
      <c r="G20">
        <f>G19+H19</f>
        <v>24087.129208000002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3:R22"/>
  <sheetViews>
    <sheetView workbookViewId="0">
      <selection activeCell="N18" sqref="N18"/>
    </sheetView>
  </sheetViews>
  <sheetFormatPr defaultRowHeight="15"/>
  <cols>
    <col min="13" max="13" width="14.85546875" customWidth="1"/>
  </cols>
  <sheetData>
    <row r="3" spans="2:18">
      <c r="B3" t="s">
        <v>7</v>
      </c>
      <c r="C3" t="s">
        <v>20</v>
      </c>
      <c r="D3" t="s">
        <v>21</v>
      </c>
      <c r="E3" t="s">
        <v>14</v>
      </c>
      <c r="F3" t="s">
        <v>22</v>
      </c>
      <c r="G3" t="s">
        <v>15</v>
      </c>
      <c r="H3" t="s">
        <v>16</v>
      </c>
      <c r="I3" t="s">
        <v>17</v>
      </c>
      <c r="K3" t="s">
        <v>23</v>
      </c>
      <c r="L3" t="s">
        <v>20</v>
      </c>
      <c r="M3" t="s">
        <v>21</v>
      </c>
      <c r="N3" t="s">
        <v>14</v>
      </c>
      <c r="O3" t="s">
        <v>22</v>
      </c>
      <c r="P3" t="s">
        <v>15</v>
      </c>
      <c r="Q3" t="s">
        <v>16</v>
      </c>
      <c r="R3" t="s">
        <v>17</v>
      </c>
    </row>
    <row r="4" spans="2:18">
      <c r="B4" t="s">
        <v>8</v>
      </c>
      <c r="D4">
        <v>68803.199999999997</v>
      </c>
      <c r="E4">
        <v>8</v>
      </c>
      <c r="F4">
        <v>8.5</v>
      </c>
      <c r="G4">
        <f>C4*E4/1000</f>
        <v>0</v>
      </c>
      <c r="H4">
        <f>D4*F4/1000</f>
        <v>584.82719999999995</v>
      </c>
      <c r="I4">
        <f>G4+H4</f>
        <v>584.82719999999995</v>
      </c>
      <c r="K4" t="s">
        <v>8</v>
      </c>
      <c r="M4">
        <v>6088.14</v>
      </c>
      <c r="N4">
        <v>8</v>
      </c>
      <c r="O4">
        <v>8.5</v>
      </c>
      <c r="P4">
        <f>L4*N4/1000</f>
        <v>0</v>
      </c>
      <c r="Q4">
        <f>M4*O4/1000</f>
        <v>51.749190000000006</v>
      </c>
      <c r="R4">
        <f>P4+Q4</f>
        <v>51.749190000000006</v>
      </c>
    </row>
    <row r="5" spans="2:18">
      <c r="B5" t="s">
        <v>9</v>
      </c>
      <c r="D5">
        <v>140</v>
      </c>
      <c r="E5">
        <v>0.6</v>
      </c>
      <c r="F5">
        <v>0.6</v>
      </c>
      <c r="G5">
        <f t="shared" ref="G5:G7" si="0">C5*E5/1000</f>
        <v>0</v>
      </c>
      <c r="H5">
        <f t="shared" ref="H5:H7" si="1">D5*F5/1000</f>
        <v>8.4000000000000005E-2</v>
      </c>
      <c r="I5">
        <f t="shared" ref="I5:I7" si="2">G5+H5</f>
        <v>8.4000000000000005E-2</v>
      </c>
      <c r="K5" t="s">
        <v>9</v>
      </c>
      <c r="M5">
        <v>2210.9</v>
      </c>
      <c r="N5">
        <v>0.6</v>
      </c>
      <c r="O5">
        <v>0.6</v>
      </c>
      <c r="P5">
        <f t="shared" ref="P5:P7" si="3">L5*N5/1000</f>
        <v>0</v>
      </c>
      <c r="Q5">
        <f t="shared" ref="Q5:Q7" si="4">M5*O5/1000</f>
        <v>1.3265400000000001</v>
      </c>
      <c r="R5">
        <f t="shared" ref="R5:R7" si="5">P5+Q5</f>
        <v>1.3265400000000001</v>
      </c>
    </row>
    <row r="6" spans="2:18">
      <c r="B6" t="s">
        <v>10</v>
      </c>
      <c r="C6">
        <v>634.1</v>
      </c>
      <c r="D6">
        <v>37737.800000000003</v>
      </c>
      <c r="E6">
        <v>0.6</v>
      </c>
      <c r="F6">
        <v>0.6</v>
      </c>
      <c r="G6">
        <f t="shared" si="0"/>
        <v>0.38045999999999996</v>
      </c>
      <c r="H6">
        <f t="shared" si="1"/>
        <v>22.642679999999999</v>
      </c>
      <c r="I6">
        <f t="shared" si="2"/>
        <v>23.023139999999998</v>
      </c>
      <c r="K6" t="s">
        <v>10</v>
      </c>
      <c r="L6">
        <v>33011.300000000003</v>
      </c>
      <c r="M6">
        <v>301025.55</v>
      </c>
      <c r="N6">
        <v>0.6</v>
      </c>
      <c r="O6">
        <v>0.6</v>
      </c>
      <c r="P6">
        <f t="shared" si="3"/>
        <v>19.806780000000003</v>
      </c>
      <c r="Q6">
        <f t="shared" si="4"/>
        <v>180.61533</v>
      </c>
      <c r="R6">
        <f t="shared" si="5"/>
        <v>200.42211</v>
      </c>
    </row>
    <row r="7" spans="2:18">
      <c r="B7" t="s">
        <v>11</v>
      </c>
      <c r="C7">
        <v>0</v>
      </c>
      <c r="D7">
        <v>0</v>
      </c>
      <c r="E7">
        <v>0.6</v>
      </c>
      <c r="F7">
        <v>0.6</v>
      </c>
      <c r="G7">
        <f t="shared" si="0"/>
        <v>0</v>
      </c>
      <c r="H7">
        <f t="shared" si="1"/>
        <v>0</v>
      </c>
      <c r="I7">
        <f t="shared" si="2"/>
        <v>0</v>
      </c>
      <c r="K7" t="s">
        <v>11</v>
      </c>
      <c r="L7">
        <v>0</v>
      </c>
      <c r="M7">
        <v>11972.2</v>
      </c>
      <c r="N7">
        <v>0.6</v>
      </c>
      <c r="O7">
        <v>0.6</v>
      </c>
      <c r="P7">
        <f t="shared" si="3"/>
        <v>0</v>
      </c>
      <c r="Q7">
        <f t="shared" si="4"/>
        <v>7.183320000000001</v>
      </c>
      <c r="R7">
        <f t="shared" si="5"/>
        <v>7.183320000000001</v>
      </c>
    </row>
    <row r="8" spans="2:18">
      <c r="G8">
        <f>SUM(G4:G7)</f>
        <v>0.38045999999999996</v>
      </c>
      <c r="H8">
        <f>SUM(H4:H7)</f>
        <v>607.55387999999994</v>
      </c>
      <c r="I8">
        <f>SUM(I4:I7)</f>
        <v>607.93433999999991</v>
      </c>
      <c r="P8">
        <f>SUM(P4:P7)</f>
        <v>19.806780000000003</v>
      </c>
      <c r="Q8">
        <f>SUM(Q4:Q7)</f>
        <v>240.87438</v>
      </c>
      <c r="R8">
        <f>SUM(R4:R7)</f>
        <v>260.68115999999998</v>
      </c>
    </row>
    <row r="9" spans="2:18">
      <c r="G9">
        <f>G8+H8</f>
        <v>607.93433999999991</v>
      </c>
      <c r="P9">
        <f>P8+Q8</f>
        <v>260.68115999999998</v>
      </c>
    </row>
    <row r="16" spans="2:18">
      <c r="K16" t="s">
        <v>23</v>
      </c>
      <c r="L16" t="s">
        <v>20</v>
      </c>
      <c r="M16" t="s">
        <v>21</v>
      </c>
      <c r="N16" t="s">
        <v>14</v>
      </c>
      <c r="O16" t="s">
        <v>22</v>
      </c>
      <c r="P16" t="s">
        <v>15</v>
      </c>
      <c r="Q16" t="s">
        <v>16</v>
      </c>
      <c r="R16" t="s">
        <v>17</v>
      </c>
    </row>
    <row r="17" spans="11:18">
      <c r="K17" t="s">
        <v>8</v>
      </c>
      <c r="L17">
        <v>124041.3</v>
      </c>
      <c r="M17">
        <v>2694025.13</v>
      </c>
      <c r="N17">
        <v>2.41</v>
      </c>
      <c r="O17">
        <v>8.5</v>
      </c>
      <c r="P17">
        <f>L17*N17/1000</f>
        <v>298.93953299999998</v>
      </c>
      <c r="Q17">
        <f>M17*O17/1000</f>
        <v>22899.213605000001</v>
      </c>
      <c r="R17">
        <f>P17+Q17</f>
        <v>23198.153138000001</v>
      </c>
    </row>
    <row r="18" spans="11:18">
      <c r="K18" t="s">
        <v>9</v>
      </c>
      <c r="L18">
        <v>16614</v>
      </c>
      <c r="M18">
        <v>237653.57</v>
      </c>
      <c r="N18">
        <v>0.6</v>
      </c>
      <c r="O18">
        <v>0.6</v>
      </c>
      <c r="P18">
        <f t="shared" ref="P18:P20" si="6">L18*N18/1000</f>
        <v>9.968399999999999</v>
      </c>
      <c r="Q18">
        <f t="shared" ref="Q18:Q20" si="7">M18*O18/1000</f>
        <v>142.592142</v>
      </c>
      <c r="R18">
        <f t="shared" ref="R18:R20" si="8">P18+Q18</f>
        <v>152.560542</v>
      </c>
    </row>
    <row r="19" spans="11:18">
      <c r="K19" t="s">
        <v>10</v>
      </c>
      <c r="L19">
        <v>33914.6</v>
      </c>
      <c r="M19">
        <v>2807676.37</v>
      </c>
      <c r="N19">
        <v>0.6</v>
      </c>
      <c r="O19">
        <v>0.6</v>
      </c>
      <c r="P19">
        <f t="shared" si="6"/>
        <v>20.348759999999999</v>
      </c>
      <c r="Q19">
        <f t="shared" si="7"/>
        <v>1684.605822</v>
      </c>
      <c r="R19">
        <f t="shared" si="8"/>
        <v>1704.9545820000001</v>
      </c>
    </row>
    <row r="20" spans="11:18">
      <c r="K20" t="s">
        <v>11</v>
      </c>
      <c r="L20">
        <v>0</v>
      </c>
      <c r="M20">
        <v>813543.43</v>
      </c>
      <c r="N20">
        <v>0.6</v>
      </c>
      <c r="O20">
        <v>0.6</v>
      </c>
      <c r="P20">
        <f t="shared" si="6"/>
        <v>0</v>
      </c>
      <c r="Q20">
        <f t="shared" si="7"/>
        <v>488.126058</v>
      </c>
      <c r="R20">
        <f t="shared" si="8"/>
        <v>488.126058</v>
      </c>
    </row>
    <row r="21" spans="11:18">
      <c r="P21">
        <f>SUM(P17:P20)</f>
        <v>329.25669299999993</v>
      </c>
      <c r="Q21">
        <f>SUM(Q17:Q20)</f>
        <v>25214.537627000005</v>
      </c>
      <c r="R21">
        <f>SUM(R17:R20)</f>
        <v>25543.794320000001</v>
      </c>
    </row>
    <row r="22" spans="11:18">
      <c r="P22">
        <f>P21+Q21</f>
        <v>25543.794320000005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4:M15"/>
  <sheetViews>
    <sheetView workbookViewId="0">
      <selection activeCell="M15" sqref="M13:M15"/>
    </sheetView>
  </sheetViews>
  <sheetFormatPr defaultRowHeight="15"/>
  <sheetData>
    <row r="4" spans="2:13">
      <c r="B4">
        <v>7000</v>
      </c>
      <c r="C4">
        <v>12</v>
      </c>
      <c r="D4">
        <f>B4*C4</f>
        <v>84000</v>
      </c>
    </row>
    <row r="5" spans="2:13">
      <c r="B5">
        <v>13000</v>
      </c>
      <c r="D5">
        <v>13000</v>
      </c>
      <c r="G5" t="s">
        <v>24</v>
      </c>
      <c r="H5">
        <v>862</v>
      </c>
      <c r="I5">
        <f>862*1.2</f>
        <v>1034.3999999999999</v>
      </c>
      <c r="J5">
        <f>300*12</f>
        <v>3600</v>
      </c>
      <c r="K5">
        <f>I5*12+J5</f>
        <v>16012.8</v>
      </c>
    </row>
    <row r="6" spans="2:13">
      <c r="D6">
        <v>7000</v>
      </c>
      <c r="G6" t="s">
        <v>23</v>
      </c>
      <c r="H6">
        <v>200</v>
      </c>
      <c r="I6">
        <v>0.7</v>
      </c>
      <c r="J6">
        <v>4</v>
      </c>
      <c r="K6">
        <f>H6*I6*J6</f>
        <v>560</v>
      </c>
      <c r="L6">
        <f>K6*1.2</f>
        <v>672</v>
      </c>
      <c r="M6">
        <f>L6*12</f>
        <v>8064</v>
      </c>
    </row>
    <row r="7" spans="2:13">
      <c r="D7">
        <v>20000</v>
      </c>
      <c r="J7">
        <v>200</v>
      </c>
      <c r="M7">
        <f>J7*12</f>
        <v>2400</v>
      </c>
    </row>
    <row r="8" spans="2:13">
      <c r="D8">
        <f>SUM(D4:D7)</f>
        <v>124000</v>
      </c>
      <c r="H8">
        <v>6</v>
      </c>
      <c r="I8">
        <v>6.05</v>
      </c>
      <c r="J8">
        <v>4</v>
      </c>
      <c r="K8">
        <f>H8*I8*J8</f>
        <v>145.19999999999999</v>
      </c>
      <c r="L8">
        <f>K8*1.2</f>
        <v>174.23999999999998</v>
      </c>
      <c r="M8">
        <f>L8*12</f>
        <v>2090.8799999999997</v>
      </c>
    </row>
    <row r="9" spans="2:13">
      <c r="M9">
        <f>SUM(M6:M8)</f>
        <v>12554.88</v>
      </c>
    </row>
    <row r="11" spans="2:13">
      <c r="G11" t="s">
        <v>19</v>
      </c>
      <c r="H11">
        <v>1100</v>
      </c>
      <c r="I11">
        <v>0.7</v>
      </c>
      <c r="J11">
        <v>4</v>
      </c>
      <c r="K11">
        <f>H11*I11*J11</f>
        <v>3080</v>
      </c>
      <c r="L11">
        <f>K11*1.2</f>
        <v>3696</v>
      </c>
      <c r="M11">
        <f>L11*12</f>
        <v>44352</v>
      </c>
    </row>
    <row r="12" spans="2:13">
      <c r="H12">
        <v>49</v>
      </c>
      <c r="I12">
        <v>6.05</v>
      </c>
      <c r="J12">
        <v>4</v>
      </c>
      <c r="K12">
        <f>H12*I12*J12</f>
        <v>1185.8</v>
      </c>
      <c r="L12">
        <f>K12*1.2</f>
        <v>1422.9599999999998</v>
      </c>
      <c r="M12">
        <f>L12*12</f>
        <v>17075.519999999997</v>
      </c>
    </row>
    <row r="13" spans="2:13">
      <c r="L13">
        <f>L12+L11+L8+L6+I5</f>
        <v>6999.5999999999995</v>
      </c>
      <c r="M13">
        <f>SUM(M11:M12)</f>
        <v>61427.519999999997</v>
      </c>
    </row>
    <row r="14" spans="2:13">
      <c r="H14" t="s">
        <v>25</v>
      </c>
      <c r="M14">
        <f>13000-M7-J5</f>
        <v>7000</v>
      </c>
    </row>
    <row r="15" spans="2:13">
      <c r="M15">
        <f>SUM(M13:M14)</f>
        <v>68427.51999999999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5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Scetovodstvo</dc:creator>
  <cp:lastModifiedBy>user</cp:lastModifiedBy>
  <cp:lastPrinted>2016-11-29T06:22:52Z</cp:lastPrinted>
  <dcterms:created xsi:type="dcterms:W3CDTF">2015-12-12T07:05:07Z</dcterms:created>
  <dcterms:modified xsi:type="dcterms:W3CDTF">2016-11-29T06:22:59Z</dcterms:modified>
</cp:coreProperties>
</file>