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997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4519"/>
</workbook>
</file>

<file path=xl/calcChain.xml><?xml version="1.0" encoding="utf-8"?>
<calcChain xmlns="http://schemas.openxmlformats.org/spreadsheetml/2006/main">
  <c r="G7" i="1"/>
  <c r="G8"/>
  <c r="G6"/>
  <c r="D7"/>
  <c r="D8"/>
  <c r="D6"/>
  <c r="C9" l="1"/>
  <c r="G24" l="1"/>
  <c r="G23"/>
  <c r="G22"/>
  <c r="G17" s="1"/>
  <c r="J16"/>
  <c r="G15"/>
  <c r="J6"/>
  <c r="J15" l="1"/>
  <c r="G26"/>
  <c r="G31" s="1"/>
  <c r="J9"/>
  <c r="H7"/>
  <c r="I7"/>
  <c r="H8"/>
  <c r="I8"/>
  <c r="I6"/>
  <c r="H6"/>
  <c r="J17" l="1"/>
  <c r="J26"/>
  <c r="K6"/>
  <c r="K8"/>
  <c r="K7"/>
  <c r="M15" i="5"/>
  <c r="M14"/>
  <c r="M13"/>
  <c r="L13"/>
  <c r="M12"/>
  <c r="L12"/>
  <c r="K12"/>
  <c r="K11"/>
  <c r="L11" s="1"/>
  <c r="M11" s="1"/>
  <c r="K8"/>
  <c r="L8" s="1"/>
  <c r="M8" s="1"/>
  <c r="M7"/>
  <c r="K6"/>
  <c r="L6" s="1"/>
  <c r="M6" s="1"/>
  <c r="M9" s="1"/>
  <c r="J5"/>
  <c r="I5"/>
  <c r="K5" s="1"/>
  <c r="D8"/>
  <c r="D4"/>
  <c r="F9" i="1"/>
  <c r="I9" s="1"/>
  <c r="Q20" i="4"/>
  <c r="P20"/>
  <c r="Q19"/>
  <c r="P19"/>
  <c r="Q18"/>
  <c r="P18"/>
  <c r="Q17"/>
  <c r="Q21" s="1"/>
  <c r="P17"/>
  <c r="P21" s="1"/>
  <c r="R7"/>
  <c r="Q7"/>
  <c r="P7"/>
  <c r="Q6"/>
  <c r="P6"/>
  <c r="P8" s="1"/>
  <c r="Q5"/>
  <c r="R5" s="1"/>
  <c r="P5"/>
  <c r="Q4"/>
  <c r="R4" s="1"/>
  <c r="P4"/>
  <c r="I8"/>
  <c r="H5"/>
  <c r="H6"/>
  <c r="H7"/>
  <c r="H4"/>
  <c r="G4"/>
  <c r="G7"/>
  <c r="G6"/>
  <c r="G5"/>
  <c r="G8"/>
  <c r="D9" i="1"/>
  <c r="P21" i="2"/>
  <c r="Q20"/>
  <c r="N21"/>
  <c r="M20"/>
  <c r="N20"/>
  <c r="J21"/>
  <c r="K20"/>
  <c r="J20"/>
  <c r="E9" i="1"/>
  <c r="H9" s="1"/>
  <c r="H18" i="3"/>
  <c r="G18"/>
  <c r="H17"/>
  <c r="G17"/>
  <c r="H16"/>
  <c r="G16"/>
  <c r="H15"/>
  <c r="H19" s="1"/>
  <c r="G15"/>
  <c r="G19" s="1"/>
  <c r="P10"/>
  <c r="R9"/>
  <c r="Q8"/>
  <c r="P8"/>
  <c r="Q7"/>
  <c r="P7"/>
  <c r="Q6"/>
  <c r="P6"/>
  <c r="R6" s="1"/>
  <c r="Q5"/>
  <c r="Q9" s="1"/>
  <c r="P5"/>
  <c r="P9" s="1"/>
  <c r="I9"/>
  <c r="I6"/>
  <c r="I7"/>
  <c r="I8"/>
  <c r="I5"/>
  <c r="G10"/>
  <c r="H9"/>
  <c r="G9"/>
  <c r="H8"/>
  <c r="H6"/>
  <c r="H7"/>
  <c r="H5"/>
  <c r="G6"/>
  <c r="G7"/>
  <c r="G8"/>
  <c r="G5"/>
  <c r="B9" i="1"/>
  <c r="E13" i="2"/>
  <c r="E20"/>
  <c r="E14" s="1"/>
  <c r="P11"/>
  <c r="Q10"/>
  <c r="P10"/>
  <c r="K11"/>
  <c r="L10"/>
  <c r="K10"/>
  <c r="E11"/>
  <c r="F10"/>
  <c r="E10"/>
  <c r="J31" i="1" l="1"/>
  <c r="K9"/>
  <c r="G9"/>
  <c r="R20" i="4"/>
  <c r="R19"/>
  <c r="R18"/>
  <c r="P22"/>
  <c r="R17"/>
  <c r="Q8"/>
  <c r="P9" s="1"/>
  <c r="R6"/>
  <c r="R8" s="1"/>
  <c r="H8"/>
  <c r="G9" s="1"/>
  <c r="I7"/>
  <c r="I6"/>
  <c r="I5"/>
  <c r="I4"/>
  <c r="I18" i="3"/>
  <c r="I17"/>
  <c r="I16"/>
  <c r="G20"/>
  <c r="I15"/>
  <c r="R7"/>
  <c r="R8"/>
  <c r="R5"/>
  <c r="R21" i="4" l="1"/>
  <c r="I19" i="3"/>
</calcChain>
</file>

<file path=xl/comments1.xml><?xml version="1.0" encoding="utf-8"?>
<comments xmlns="http://schemas.openxmlformats.org/spreadsheetml/2006/main">
  <authors>
    <author>Потребител на Windows</author>
  </authors>
  <commentList>
    <comment ref="A16" authorId="0">
      <text>
        <r>
          <rPr>
            <b/>
            <sz val="9"/>
            <color indexed="81"/>
            <rFont val="Tahoma"/>
            <family val="2"/>
            <charset val="204"/>
          </rPr>
          <t>Потребител на Windows:</t>
        </r>
        <r>
          <rPr>
            <sz val="9"/>
            <color indexed="81"/>
            <rFont val="Tahoma"/>
            <family val="2"/>
            <charset val="204"/>
          </rPr>
          <t xml:space="preserve">
дали да разделяме разходите на работни заплати, осигурителни плащания, издръжка и платени данъци и такси
</t>
        </r>
      </text>
    </comment>
    <comment ref="A26" authorId="0">
      <text>
        <r>
          <rPr>
            <b/>
            <sz val="9"/>
            <color indexed="81"/>
            <rFont val="Tahoma"/>
            <family val="2"/>
            <charset val="204"/>
          </rPr>
          <t>Потребител на Windows:</t>
        </r>
        <r>
          <rPr>
            <sz val="9"/>
            <color indexed="81"/>
            <rFont val="Tahoma"/>
            <family val="2"/>
            <charset val="204"/>
          </rPr>
          <t xml:space="preserve">
дали да разделеим средтвата за работни заплати ако наемаме хора или като издръжка
</t>
        </r>
      </text>
    </comment>
  </commentList>
</comments>
</file>

<file path=xl/sharedStrings.xml><?xml version="1.0" encoding="utf-8"?>
<sst xmlns="http://schemas.openxmlformats.org/spreadsheetml/2006/main" count="113" uniqueCount="54">
  <si>
    <t xml:space="preserve">Сърница </t>
  </si>
  <si>
    <t>Побит камък</t>
  </si>
  <si>
    <t>Медени поляни</t>
  </si>
  <si>
    <t>ФЛ</t>
  </si>
  <si>
    <t>ЮЛ</t>
  </si>
  <si>
    <t xml:space="preserve">ФЛ </t>
  </si>
  <si>
    <t xml:space="preserve">ЮЛ </t>
  </si>
  <si>
    <t>ОБЩО</t>
  </si>
  <si>
    <t>Приходи</t>
  </si>
  <si>
    <t>ТБО ФЛ</t>
  </si>
  <si>
    <t>ТБО ЮЛ</t>
  </si>
  <si>
    <t>Мд</t>
  </si>
  <si>
    <t>зр</t>
  </si>
  <si>
    <t xml:space="preserve">незс в р </t>
  </si>
  <si>
    <t>зас изр</t>
  </si>
  <si>
    <t>нез из рег</t>
  </si>
  <si>
    <t>фз до жил</t>
  </si>
  <si>
    <t>нежил фз</t>
  </si>
  <si>
    <t>промили</t>
  </si>
  <si>
    <t xml:space="preserve">облог 1 </t>
  </si>
  <si>
    <t>f/.fh 2</t>
  </si>
  <si>
    <t xml:space="preserve">общо </t>
  </si>
  <si>
    <t>Пк</t>
  </si>
  <si>
    <t>сърница</t>
  </si>
  <si>
    <t>юл до жил</t>
  </si>
  <si>
    <t>нежил юл</t>
  </si>
  <si>
    <t>пров2</t>
  </si>
  <si>
    <t>пк</t>
  </si>
  <si>
    <t>мп</t>
  </si>
  <si>
    <t>Транспортдепо</t>
  </si>
  <si>
    <t>Приложение №1</t>
  </si>
  <si>
    <t>План сметка на община Сърница за 2018 година</t>
  </si>
  <si>
    <t>I. Приходи</t>
  </si>
  <si>
    <t>II. Разходи</t>
  </si>
  <si>
    <t>Населено място</t>
  </si>
  <si>
    <t>Преходен остаък от 2017 г.</t>
  </si>
  <si>
    <t>Общо</t>
  </si>
  <si>
    <t>Наименование</t>
  </si>
  <si>
    <t xml:space="preserve">2.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</si>
  <si>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 xml:space="preserve">3. 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
</t>
  </si>
  <si>
    <t xml:space="preserve">     3.1.  Отчисления по чл. 60 от ЗУО</t>
  </si>
  <si>
    <t xml:space="preserve">     3.2.  Отчисления от чл.64 от ЗУО</t>
  </si>
  <si>
    <t xml:space="preserve">     3.3. Разходи за депониране на БО и внесен ДДС по чл. 163а от ЗДДС</t>
  </si>
  <si>
    <t xml:space="preserve">     4.1. Разходи за зимно поддържане на улици, площади и паркове</t>
  </si>
  <si>
    <t xml:space="preserve">     4.3. Разходи за почистване на замърсявания и нерегламентирани сметища</t>
  </si>
  <si>
    <t xml:space="preserve">     4.4. Почистване на дерета</t>
  </si>
  <si>
    <t>1. Осигуряване на съдове за съхраняване на битовите отпадъци - контейнери, кофи и други</t>
  </si>
  <si>
    <t xml:space="preserve">     4.2. Разходи за почистване при летни условия на улици, площади и паркове</t>
  </si>
  <si>
    <t xml:space="preserve">4. Пчистване на уличните платна, площадите, алеите, парковите и другите територии от населените места, предназначени за обществено ползване
</t>
  </si>
  <si>
    <t>Данъчни основи за 2018г.</t>
  </si>
  <si>
    <t>Облог за 2018г.</t>
  </si>
  <si>
    <t xml:space="preserve">Община  Сърница </t>
  </si>
  <si>
    <t>Забележка: Община Сърница предвижда да събере ТБО за 2017, заедно с недобори от предходини години сумата от 123 936 лева. Сумата от 118 996 лева ще бъде дофинансиран от други общински приходи.</t>
  </si>
  <si>
    <t xml:space="preserve">     3.4. Изграждане на площадка  за  (ИУГ),  (ИУМПС) и за опасни отпадъци от домакинствата</t>
  </si>
</sst>
</file>

<file path=xl/styles.xml><?xml version="1.0" encoding="utf-8"?>
<styleSheet xmlns="http://schemas.openxmlformats.org/spreadsheetml/2006/main">
  <numFmts count="2">
    <numFmt numFmtId="43" formatCode="_-* #,##0.00\ _л_в_._-;\-* #,##0.00\ _л_в_._-;_-* &quot;-&quot;??\ _л_в_._-;_-@_-"/>
    <numFmt numFmtId="164" formatCode="_-* #,##0\ _л_в_._-;\-* #,##0\ _л_в_._-;_-* &quot;-&quot;??\ _л_в_._-;_-@_-"/>
  </numFmts>
  <fonts count="9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4" fillId="0" borderId="1" xfId="0" applyFont="1" applyBorder="1"/>
    <xf numFmtId="43" fontId="5" fillId="0" borderId="1" xfId="0" applyNumberFormat="1" applyFont="1" applyBorder="1"/>
    <xf numFmtId="43" fontId="4" fillId="0" borderId="1" xfId="0" applyNumberFormat="1" applyFont="1" applyBorder="1"/>
    <xf numFmtId="43" fontId="3" fillId="0" borderId="1" xfId="0" applyNumberFormat="1" applyFont="1" applyBorder="1" applyAlignment="1"/>
    <xf numFmtId="0" fontId="4" fillId="2" borderId="24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0" fontId="4" fillId="2" borderId="29" xfId="0" applyFont="1" applyFill="1" applyBorder="1"/>
    <xf numFmtId="0" fontId="4" fillId="2" borderId="16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4" fillId="2" borderId="34" xfId="0" applyFont="1" applyFill="1" applyBorder="1"/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43" fontId="5" fillId="0" borderId="13" xfId="0" applyNumberFormat="1" applyFont="1" applyBorder="1" applyAlignment="1">
      <alignment horizontal="center"/>
    </xf>
    <xf numFmtId="43" fontId="5" fillId="0" borderId="3" xfId="0" applyNumberFormat="1" applyFont="1" applyBorder="1" applyAlignment="1">
      <alignment horizontal="center"/>
    </xf>
    <xf numFmtId="43" fontId="5" fillId="0" borderId="14" xfId="0" applyNumberFormat="1" applyFont="1" applyBorder="1" applyAlignment="1">
      <alignment horizontal="center"/>
    </xf>
    <xf numFmtId="164" fontId="5" fillId="2" borderId="27" xfId="0" applyNumberFormat="1" applyFont="1" applyFill="1" applyBorder="1"/>
    <xf numFmtId="164" fontId="5" fillId="2" borderId="5" xfId="0" applyNumberFormat="1" applyFont="1" applyFill="1" applyBorder="1"/>
    <xf numFmtId="164" fontId="5" fillId="2" borderId="28" xfId="0" applyNumberFormat="1" applyFont="1" applyFill="1" applyBorder="1"/>
    <xf numFmtId="164" fontId="5" fillId="2" borderId="12" xfId="0" applyNumberFormat="1" applyFont="1" applyFill="1" applyBorder="1"/>
    <xf numFmtId="164" fontId="5" fillId="2" borderId="22" xfId="0" applyNumberFormat="1" applyFont="1" applyFill="1" applyBorder="1"/>
    <xf numFmtId="164" fontId="5" fillId="2" borderId="1" xfId="0" applyNumberFormat="1" applyFont="1" applyFill="1" applyBorder="1"/>
    <xf numFmtId="164" fontId="5" fillId="2" borderId="23" xfId="0" applyNumberFormat="1" applyFont="1" applyFill="1" applyBorder="1"/>
    <xf numFmtId="164" fontId="5" fillId="2" borderId="14" xfId="0" applyNumberFormat="1" applyFont="1" applyFill="1" applyBorder="1"/>
    <xf numFmtId="164" fontId="5" fillId="2" borderId="41" xfId="0" applyNumberFormat="1" applyFont="1" applyFill="1" applyBorder="1"/>
    <xf numFmtId="164" fontId="5" fillId="2" borderId="4" xfId="0" applyNumberFormat="1" applyFont="1" applyFill="1" applyBorder="1"/>
    <xf numFmtId="164" fontId="5" fillId="2" borderId="35" xfId="0" applyNumberFormat="1" applyFont="1" applyFill="1" applyBorder="1"/>
    <xf numFmtId="164" fontId="5" fillId="2" borderId="8" xfId="0" applyNumberFormat="1" applyFont="1" applyFill="1" applyBorder="1"/>
    <xf numFmtId="164" fontId="4" fillId="2" borderId="42" xfId="0" applyNumberFormat="1" applyFont="1" applyFill="1" applyBorder="1"/>
    <xf numFmtId="164" fontId="4" fillId="2" borderId="37" xfId="0" applyNumberFormat="1" applyFont="1" applyFill="1" applyBorder="1"/>
    <xf numFmtId="164" fontId="4" fillId="2" borderId="38" xfId="0" applyNumberFormat="1" applyFont="1" applyFill="1" applyBorder="1"/>
    <xf numFmtId="164" fontId="4" fillId="2" borderId="36" xfId="0" applyNumberFormat="1" applyFont="1" applyFill="1" applyBorder="1"/>
    <xf numFmtId="43" fontId="5" fillId="0" borderId="13" xfId="0" applyNumberFormat="1" applyFont="1" applyBorder="1" applyAlignment="1">
      <alignment horizontal="center"/>
    </xf>
    <xf numFmtId="43" fontId="5" fillId="0" borderId="3" xfId="0" applyNumberFormat="1" applyFont="1" applyBorder="1" applyAlignment="1">
      <alignment horizontal="center"/>
    </xf>
    <xf numFmtId="43" fontId="5" fillId="0" borderId="14" xfId="0" applyNumberFormat="1" applyFont="1" applyBorder="1" applyAlignment="1">
      <alignment horizontal="center"/>
    </xf>
    <xf numFmtId="43" fontId="3" fillId="0" borderId="13" xfId="0" applyNumberFormat="1" applyFont="1" applyBorder="1" applyAlignment="1">
      <alignment horizontal="center"/>
    </xf>
    <xf numFmtId="43" fontId="3" fillId="0" borderId="3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/>
    </xf>
    <xf numFmtId="43" fontId="4" fillId="0" borderId="13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43" fontId="4" fillId="0" borderId="14" xfId="0" applyNumberFormat="1" applyFont="1" applyBorder="1" applyAlignment="1">
      <alignment horizontal="center"/>
    </xf>
    <xf numFmtId="164" fontId="5" fillId="2" borderId="43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4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3" fontId="4" fillId="0" borderId="4" xfId="0" applyNumberFormat="1" applyFont="1" applyBorder="1" applyAlignment="1">
      <alignment horizontal="center"/>
    </xf>
    <xf numFmtId="43" fontId="4" fillId="0" borderId="6" xfId="0" applyNumberFormat="1" applyFont="1" applyBorder="1" applyAlignment="1">
      <alignment horizontal="center"/>
    </xf>
    <xf numFmtId="43" fontId="4" fillId="0" borderId="5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43" fontId="4" fillId="0" borderId="7" xfId="0" applyNumberFormat="1" applyFont="1" applyBorder="1" applyAlignment="1">
      <alignment horizontal="center"/>
    </xf>
    <xf numFmtId="43" fontId="4" fillId="0" borderId="1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43" fontId="4" fillId="0" borderId="9" xfId="0" applyNumberFormat="1" applyFont="1" applyBorder="1" applyAlignment="1">
      <alignment horizontal="center"/>
    </xf>
    <xf numFmtId="43" fontId="4" fillId="0" borderId="0" xfId="0" applyNumberFormat="1" applyFont="1" applyBorder="1" applyAlignment="1">
      <alignment horizontal="center"/>
    </xf>
    <xf numFmtId="43" fontId="4" fillId="0" borderId="10" xfId="0" applyNumberFormat="1" applyFont="1" applyBorder="1" applyAlignment="1">
      <alignment horizontal="center"/>
    </xf>
    <xf numFmtId="43" fontId="4" fillId="0" borderId="11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/>
    </xf>
    <xf numFmtId="43" fontId="4" fillId="0" borderId="12" xfId="0" applyNumberFormat="1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8"/>
  <sheetViews>
    <sheetView tabSelected="1" topLeftCell="A16" workbookViewId="0">
      <selection activeCell="A25" sqref="A25"/>
    </sheetView>
  </sheetViews>
  <sheetFormatPr defaultRowHeight="15"/>
  <cols>
    <col min="1" max="5" width="20.7109375" customWidth="1"/>
    <col min="6" max="6" width="20.85546875" customWidth="1"/>
    <col min="7" max="9" width="20.7109375" customWidth="1"/>
    <col min="10" max="10" width="28.140625" customWidth="1"/>
    <col min="11" max="11" width="20.7109375" customWidth="1"/>
    <col min="13" max="13" width="10" bestFit="1" customWidth="1"/>
  </cols>
  <sheetData>
    <row r="1" spans="1:11" ht="18.75">
      <c r="A1" s="69" t="s">
        <v>30</v>
      </c>
      <c r="B1" s="69"/>
      <c r="C1" s="69"/>
      <c r="D1" s="69"/>
      <c r="E1" s="69"/>
      <c r="F1" s="69"/>
      <c r="G1" s="69"/>
      <c r="H1" s="69"/>
      <c r="I1" s="69"/>
    </row>
    <row r="2" spans="1:11" ht="20.25">
      <c r="A2" s="70" t="s">
        <v>31</v>
      </c>
      <c r="B2" s="70"/>
      <c r="C2" s="70"/>
      <c r="D2" s="70"/>
      <c r="E2" s="70"/>
      <c r="F2" s="70"/>
      <c r="G2" s="70"/>
      <c r="H2" s="70"/>
      <c r="I2" s="70"/>
    </row>
    <row r="3" spans="1:11" ht="19.5" thickBot="1">
      <c r="A3" s="73" t="s">
        <v>32</v>
      </c>
      <c r="B3" s="73"/>
      <c r="C3" s="73"/>
      <c r="D3" s="73"/>
      <c r="E3" s="73"/>
      <c r="F3" s="73"/>
      <c r="G3" s="73"/>
      <c r="H3" s="73"/>
      <c r="I3" s="73"/>
      <c r="J3" s="73"/>
    </row>
    <row r="4" spans="1:11" ht="15.75">
      <c r="A4" s="71" t="s">
        <v>34</v>
      </c>
      <c r="B4" s="63" t="s">
        <v>49</v>
      </c>
      <c r="C4" s="64"/>
      <c r="D4" s="65"/>
      <c r="E4" s="54" t="s">
        <v>50</v>
      </c>
      <c r="F4" s="55"/>
      <c r="G4" s="56"/>
      <c r="H4" s="62" t="s">
        <v>8</v>
      </c>
      <c r="I4" s="55"/>
      <c r="J4" s="55"/>
      <c r="K4" s="56"/>
    </row>
    <row r="5" spans="1:11" ht="16.5" thickBot="1">
      <c r="A5" s="72"/>
      <c r="B5" s="7" t="s">
        <v>3</v>
      </c>
      <c r="C5" s="8" t="s">
        <v>4</v>
      </c>
      <c r="D5" s="9" t="s">
        <v>7</v>
      </c>
      <c r="E5" s="7" t="s">
        <v>5</v>
      </c>
      <c r="F5" s="8" t="s">
        <v>6</v>
      </c>
      <c r="G5" s="9" t="s">
        <v>7</v>
      </c>
      <c r="H5" s="10" t="s">
        <v>9</v>
      </c>
      <c r="I5" s="8" t="s">
        <v>10</v>
      </c>
      <c r="J5" s="8" t="s">
        <v>35</v>
      </c>
      <c r="K5" s="9" t="s">
        <v>7</v>
      </c>
    </row>
    <row r="6" spans="1:11" ht="15.75">
      <c r="A6" s="12" t="s">
        <v>0</v>
      </c>
      <c r="B6" s="21">
        <v>11979408.800000001</v>
      </c>
      <c r="C6" s="22">
        <v>12974233.32</v>
      </c>
      <c r="D6" s="23">
        <f>SUM(B6:C6)</f>
        <v>24953642.120000001</v>
      </c>
      <c r="E6" s="21">
        <v>64658.67</v>
      </c>
      <c r="F6" s="22">
        <v>85477.7</v>
      </c>
      <c r="G6" s="23">
        <f>SUM(E6:F6)</f>
        <v>150136.37</v>
      </c>
      <c r="H6" s="24">
        <f>0.7*E6</f>
        <v>45261.068999999996</v>
      </c>
      <c r="I6" s="22">
        <f>0.7*F6</f>
        <v>59834.389999999992</v>
      </c>
      <c r="J6" s="46">
        <f>15666+3000-2000-100-200-6331</f>
        <v>10035</v>
      </c>
      <c r="K6" s="23">
        <f>H6+I6</f>
        <v>105095.45899999999</v>
      </c>
    </row>
    <row r="7" spans="1:11" ht="15.75">
      <c r="A7" s="13" t="s">
        <v>1</v>
      </c>
      <c r="B7" s="25">
        <v>307085.8</v>
      </c>
      <c r="C7" s="26">
        <v>739991.89</v>
      </c>
      <c r="D7" s="27">
        <f t="shared" ref="D7:D8" si="0">SUM(B7:C7)</f>
        <v>1047077.69</v>
      </c>
      <c r="E7" s="25">
        <v>2192.33</v>
      </c>
      <c r="F7" s="26">
        <v>5013.07</v>
      </c>
      <c r="G7" s="23">
        <f t="shared" ref="G7:G8" si="1">SUM(E7:F7)</f>
        <v>7205.4</v>
      </c>
      <c r="H7" s="28">
        <f t="shared" ref="H7:H8" si="2">0.7*E7</f>
        <v>1534.6309999999999</v>
      </c>
      <c r="I7" s="26">
        <f t="shared" ref="I7:I8" si="3">0.7*F7</f>
        <v>3509.1489999999994</v>
      </c>
      <c r="J7" s="47"/>
      <c r="K7" s="27">
        <f>H7+I7</f>
        <v>5043.7799999999988</v>
      </c>
    </row>
    <row r="8" spans="1:11" ht="16.5" thickBot="1">
      <c r="A8" s="14" t="s">
        <v>2</v>
      </c>
      <c r="B8" s="29">
        <v>531640.6</v>
      </c>
      <c r="C8" s="30">
        <v>183321.25</v>
      </c>
      <c r="D8" s="31">
        <f t="shared" si="0"/>
        <v>714961.85</v>
      </c>
      <c r="E8" s="29">
        <v>3961.36</v>
      </c>
      <c r="F8" s="30">
        <v>1413.09</v>
      </c>
      <c r="G8" s="23">
        <f t="shared" si="1"/>
        <v>5374.45</v>
      </c>
      <c r="H8" s="32">
        <f t="shared" si="2"/>
        <v>2772.9519999999998</v>
      </c>
      <c r="I8" s="30">
        <f t="shared" si="3"/>
        <v>989.1629999999999</v>
      </c>
      <c r="J8" s="48"/>
      <c r="K8" s="31">
        <f>H8+I8</f>
        <v>3762.1149999999998</v>
      </c>
    </row>
    <row r="9" spans="1:11" ht="16.5" thickBot="1">
      <c r="A9" s="11" t="s">
        <v>36</v>
      </c>
      <c r="B9" s="33">
        <f t="shared" ref="B9:G9" si="4">SUM(B6:B8)</f>
        <v>12818135.200000001</v>
      </c>
      <c r="C9" s="34">
        <f t="shared" si="4"/>
        <v>13897546.460000001</v>
      </c>
      <c r="D9" s="35">
        <f t="shared" si="4"/>
        <v>26715681.660000004</v>
      </c>
      <c r="E9" s="33">
        <f t="shared" si="4"/>
        <v>70812.36</v>
      </c>
      <c r="F9" s="34">
        <f t="shared" si="4"/>
        <v>91903.859999999986</v>
      </c>
      <c r="G9" s="35">
        <f t="shared" si="4"/>
        <v>162716.22</v>
      </c>
      <c r="H9" s="36">
        <f>0.7*E9</f>
        <v>49568.651999999995</v>
      </c>
      <c r="I9" s="34">
        <f>0.7*F9</f>
        <v>64332.701999999983</v>
      </c>
      <c r="J9" s="34">
        <f>J6</f>
        <v>10035</v>
      </c>
      <c r="K9" s="35">
        <f>H9+I9+J9</f>
        <v>123936.35399999998</v>
      </c>
    </row>
    <row r="10" spans="1:11">
      <c r="B10" s="1"/>
      <c r="C10" s="1"/>
    </row>
    <row r="12" spans="1:11" ht="15.75" customHeight="1">
      <c r="A12" s="50" t="s">
        <v>33</v>
      </c>
      <c r="B12" s="50"/>
      <c r="C12" s="50"/>
      <c r="D12" s="50"/>
      <c r="E12" s="50"/>
      <c r="F12" s="50"/>
      <c r="G12" s="50"/>
      <c r="H12" s="50"/>
      <c r="I12" s="50"/>
      <c r="J12" s="50"/>
    </row>
    <row r="13" spans="1:11" ht="15.75" customHeight="1">
      <c r="A13" s="50" t="s">
        <v>37</v>
      </c>
      <c r="B13" s="50"/>
      <c r="C13" s="50"/>
      <c r="D13" s="50"/>
      <c r="E13" s="50"/>
      <c r="F13" s="50"/>
      <c r="G13" s="51" t="s">
        <v>34</v>
      </c>
      <c r="H13" s="52"/>
      <c r="I13" s="53"/>
      <c r="J13" s="3" t="s">
        <v>36</v>
      </c>
    </row>
    <row r="14" spans="1:11" ht="15.75" customHeight="1">
      <c r="A14" s="57"/>
      <c r="B14" s="57"/>
      <c r="C14" s="57"/>
      <c r="D14" s="57"/>
      <c r="E14" s="57"/>
      <c r="F14" s="58"/>
      <c r="G14" s="59" t="s">
        <v>51</v>
      </c>
      <c r="H14" s="60"/>
      <c r="I14" s="61"/>
      <c r="J14" s="3"/>
    </row>
    <row r="15" spans="1:11" ht="15.75" customHeight="1">
      <c r="A15" s="49" t="s">
        <v>46</v>
      </c>
      <c r="B15" s="49"/>
      <c r="C15" s="49"/>
      <c r="D15" s="49"/>
      <c r="E15" s="49"/>
      <c r="F15" s="49"/>
      <c r="G15" s="43">
        <f>(200*50)+(10*276)</f>
        <v>12760</v>
      </c>
      <c r="H15" s="44"/>
      <c r="I15" s="45"/>
      <c r="J15" s="5">
        <f>G15+H15+I15</f>
        <v>12760</v>
      </c>
    </row>
    <row r="16" spans="1:11" ht="49.5" customHeight="1">
      <c r="A16" s="79" t="s">
        <v>38</v>
      </c>
      <c r="B16" s="80"/>
      <c r="C16" s="80"/>
      <c r="D16" s="80"/>
      <c r="E16" s="80"/>
      <c r="F16" s="81"/>
      <c r="G16" s="43">
        <v>103240</v>
      </c>
      <c r="H16" s="44"/>
      <c r="I16" s="45"/>
      <c r="J16" s="5">
        <f>G16+H16+I16</f>
        <v>103240</v>
      </c>
    </row>
    <row r="17" spans="1:10" ht="15.75" customHeight="1">
      <c r="A17" s="85" t="s">
        <v>39</v>
      </c>
      <c r="B17" s="86"/>
      <c r="C17" s="86"/>
      <c r="D17" s="86"/>
      <c r="E17" s="86"/>
      <c r="F17" s="87"/>
      <c r="G17" s="94">
        <f>SUM(G22:I25)</f>
        <v>105932</v>
      </c>
      <c r="H17" s="95"/>
      <c r="I17" s="96"/>
      <c r="J17" s="82">
        <f>G17+H17+I17</f>
        <v>105932</v>
      </c>
    </row>
    <row r="18" spans="1:10" ht="15.75" customHeight="1">
      <c r="A18" s="88"/>
      <c r="B18" s="89"/>
      <c r="C18" s="89"/>
      <c r="D18" s="89"/>
      <c r="E18" s="89"/>
      <c r="F18" s="90"/>
      <c r="G18" s="97"/>
      <c r="H18" s="98"/>
      <c r="I18" s="99"/>
      <c r="J18" s="83"/>
    </row>
    <row r="19" spans="1:10" ht="32.25" customHeight="1">
      <c r="A19" s="88"/>
      <c r="B19" s="89"/>
      <c r="C19" s="89"/>
      <c r="D19" s="89"/>
      <c r="E19" s="89"/>
      <c r="F19" s="90"/>
      <c r="G19" s="97"/>
      <c r="H19" s="98"/>
      <c r="I19" s="99"/>
      <c r="J19" s="83"/>
    </row>
    <row r="20" spans="1:10" ht="15.75" customHeight="1">
      <c r="A20" s="88"/>
      <c r="B20" s="89"/>
      <c r="C20" s="89"/>
      <c r="D20" s="89"/>
      <c r="E20" s="89"/>
      <c r="F20" s="90"/>
      <c r="G20" s="97"/>
      <c r="H20" s="98"/>
      <c r="I20" s="99"/>
      <c r="J20" s="83"/>
    </row>
    <row r="21" spans="1:10" ht="15.75" customHeight="1">
      <c r="A21" s="91"/>
      <c r="B21" s="92"/>
      <c r="C21" s="92"/>
      <c r="D21" s="92"/>
      <c r="E21" s="92"/>
      <c r="F21" s="93"/>
      <c r="G21" s="100"/>
      <c r="H21" s="101"/>
      <c r="I21" s="102"/>
      <c r="J21" s="84"/>
    </row>
    <row r="22" spans="1:10" ht="15.75" customHeight="1">
      <c r="A22" s="66" t="s">
        <v>40</v>
      </c>
      <c r="B22" s="67"/>
      <c r="C22" s="67"/>
      <c r="D22" s="67"/>
      <c r="E22" s="67"/>
      <c r="F22" s="68"/>
      <c r="G22" s="37">
        <f>3.11*1200</f>
        <v>3732</v>
      </c>
      <c r="H22" s="38"/>
      <c r="I22" s="39"/>
      <c r="J22" s="4"/>
    </row>
    <row r="23" spans="1:10" ht="15.75" customHeight="1">
      <c r="A23" s="66" t="s">
        <v>41</v>
      </c>
      <c r="B23" s="67"/>
      <c r="C23" s="67"/>
      <c r="D23" s="67"/>
      <c r="E23" s="67"/>
      <c r="F23" s="68"/>
      <c r="G23" s="37">
        <f>45*1200</f>
        <v>54000</v>
      </c>
      <c r="H23" s="38"/>
      <c r="I23" s="39"/>
      <c r="J23" s="4"/>
    </row>
    <row r="24" spans="1:10" ht="15.75" customHeight="1">
      <c r="A24" s="66" t="s">
        <v>42</v>
      </c>
      <c r="B24" s="67"/>
      <c r="C24" s="67"/>
      <c r="D24" s="67"/>
      <c r="E24" s="67"/>
      <c r="F24" s="68"/>
      <c r="G24" s="37">
        <f>1200*36</f>
        <v>43200</v>
      </c>
      <c r="H24" s="38"/>
      <c r="I24" s="39"/>
      <c r="J24" s="4"/>
    </row>
    <row r="25" spans="1:10" ht="15.75" customHeight="1">
      <c r="A25" s="15" t="s">
        <v>53</v>
      </c>
      <c r="B25" s="16"/>
      <c r="C25" s="16"/>
      <c r="D25" s="16"/>
      <c r="E25" s="16"/>
      <c r="F25" s="17"/>
      <c r="G25" s="18"/>
      <c r="H25" s="19"/>
      <c r="I25" s="20">
        <v>5000</v>
      </c>
      <c r="J25" s="4"/>
    </row>
    <row r="26" spans="1:10" ht="48.75" customHeight="1">
      <c r="A26" s="79" t="s">
        <v>48</v>
      </c>
      <c r="B26" s="80"/>
      <c r="C26" s="80"/>
      <c r="D26" s="80"/>
      <c r="E26" s="80"/>
      <c r="F26" s="81"/>
      <c r="G26" s="43">
        <f>SUM(G27:G30)</f>
        <v>21000</v>
      </c>
      <c r="H26" s="44"/>
      <c r="I26" s="45"/>
      <c r="J26" s="5">
        <f>G26+H26+I26</f>
        <v>21000</v>
      </c>
    </row>
    <row r="27" spans="1:10" ht="15.75" customHeight="1">
      <c r="A27" s="74" t="s">
        <v>43</v>
      </c>
      <c r="B27" s="74"/>
      <c r="C27" s="74"/>
      <c r="D27" s="74"/>
      <c r="E27" s="74"/>
      <c r="F27" s="74"/>
      <c r="G27" s="37">
        <v>10000</v>
      </c>
      <c r="H27" s="38"/>
      <c r="I27" s="39"/>
      <c r="J27" s="4"/>
    </row>
    <row r="28" spans="1:10" ht="15.75" customHeight="1">
      <c r="A28" s="74" t="s">
        <v>47</v>
      </c>
      <c r="B28" s="74"/>
      <c r="C28" s="74"/>
      <c r="D28" s="74"/>
      <c r="E28" s="74"/>
      <c r="F28" s="74"/>
      <c r="G28" s="37">
        <v>3000</v>
      </c>
      <c r="H28" s="38"/>
      <c r="I28" s="39"/>
      <c r="J28" s="4"/>
    </row>
    <row r="29" spans="1:10" ht="15.75" customHeight="1">
      <c r="A29" s="66" t="s">
        <v>44</v>
      </c>
      <c r="B29" s="67"/>
      <c r="C29" s="67"/>
      <c r="D29" s="67"/>
      <c r="E29" s="67"/>
      <c r="F29" s="68"/>
      <c r="G29" s="37">
        <v>5000</v>
      </c>
      <c r="H29" s="38"/>
      <c r="I29" s="39"/>
      <c r="J29" s="4"/>
    </row>
    <row r="30" spans="1:10" ht="15.75" customHeight="1">
      <c r="A30" s="66" t="s">
        <v>45</v>
      </c>
      <c r="B30" s="67"/>
      <c r="C30" s="67"/>
      <c r="D30" s="67"/>
      <c r="E30" s="67"/>
      <c r="F30" s="68"/>
      <c r="G30" s="37">
        <v>3000</v>
      </c>
      <c r="H30" s="38"/>
      <c r="I30" s="39"/>
      <c r="J30" s="4"/>
    </row>
    <row r="31" spans="1:10" ht="15.75" customHeight="1">
      <c r="A31" s="76" t="s">
        <v>36</v>
      </c>
      <c r="B31" s="77"/>
      <c r="C31" s="77"/>
      <c r="D31" s="77"/>
      <c r="E31" s="77"/>
      <c r="F31" s="78"/>
      <c r="G31" s="40">
        <f>G15+G16+G17+G26</f>
        <v>242932</v>
      </c>
      <c r="H31" s="41"/>
      <c r="I31" s="42"/>
      <c r="J31" s="6">
        <f>J15+J16+J17+J26</f>
        <v>242932</v>
      </c>
    </row>
    <row r="33" spans="1:10">
      <c r="A33" s="75" t="s">
        <v>52</v>
      </c>
      <c r="B33" s="75"/>
      <c r="C33" s="75"/>
      <c r="D33" s="75"/>
      <c r="E33" s="75"/>
      <c r="F33" s="75"/>
      <c r="G33" s="75"/>
      <c r="H33" s="75"/>
      <c r="I33" s="75"/>
      <c r="J33" s="75"/>
    </row>
    <row r="70" spans="1:7" ht="15" customHeight="1">
      <c r="A70" s="2"/>
      <c r="B70" s="2"/>
      <c r="C70" s="2"/>
      <c r="D70" s="2"/>
      <c r="E70" s="2"/>
      <c r="F70" s="2"/>
    </row>
    <row r="71" spans="1:7" ht="15" customHeight="1">
      <c r="A71" s="2"/>
      <c r="B71" s="2"/>
      <c r="C71" s="2"/>
      <c r="D71" s="2"/>
      <c r="E71" s="2"/>
      <c r="F71" s="2"/>
    </row>
    <row r="72" spans="1:7" ht="15" customHeight="1">
      <c r="B72" s="2"/>
      <c r="C72" s="2"/>
      <c r="D72" s="2"/>
      <c r="E72" s="2"/>
      <c r="F72" s="2"/>
    </row>
    <row r="76" spans="1:7" ht="15.75">
      <c r="G76" s="2"/>
    </row>
    <row r="77" spans="1:7" ht="15.75">
      <c r="G77" s="2"/>
    </row>
    <row r="78" spans="1:7" ht="15.75">
      <c r="G78" s="2"/>
    </row>
  </sheetData>
  <mergeCells count="39">
    <mergeCell ref="A33:J33"/>
    <mergeCell ref="A31:F31"/>
    <mergeCell ref="A30:F30"/>
    <mergeCell ref="A29:F29"/>
    <mergeCell ref="A26:F26"/>
    <mergeCell ref="A28:F28"/>
    <mergeCell ref="A27:F27"/>
    <mergeCell ref="A24:F24"/>
    <mergeCell ref="A23:F23"/>
    <mergeCell ref="A22:F22"/>
    <mergeCell ref="A1:I1"/>
    <mergeCell ref="A2:I2"/>
    <mergeCell ref="A4:A5"/>
    <mergeCell ref="A3:J3"/>
    <mergeCell ref="G22:I22"/>
    <mergeCell ref="G23:I23"/>
    <mergeCell ref="J17:J21"/>
    <mergeCell ref="A16:F16"/>
    <mergeCell ref="A17:F21"/>
    <mergeCell ref="G16:I16"/>
    <mergeCell ref="G17:I21"/>
    <mergeCell ref="J6:J8"/>
    <mergeCell ref="A15:F15"/>
    <mergeCell ref="A13:F13"/>
    <mergeCell ref="G13:I13"/>
    <mergeCell ref="E4:G4"/>
    <mergeCell ref="A14:F14"/>
    <mergeCell ref="G14:I14"/>
    <mergeCell ref="G15:I15"/>
    <mergeCell ref="A12:J12"/>
    <mergeCell ref="H4:K4"/>
    <mergeCell ref="B4:D4"/>
    <mergeCell ref="G24:I24"/>
    <mergeCell ref="G31:I31"/>
    <mergeCell ref="G26:I26"/>
    <mergeCell ref="G27:I27"/>
    <mergeCell ref="G28:I28"/>
    <mergeCell ref="G29:I29"/>
    <mergeCell ref="G30:I30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E6:Q21"/>
  <sheetViews>
    <sheetView workbookViewId="0">
      <selection activeCell="K17" sqref="K17"/>
    </sheetView>
  </sheetViews>
  <sheetFormatPr defaultRowHeight="15"/>
  <cols>
    <col min="5" max="5" width="11" bestFit="1" customWidth="1"/>
    <col min="6" max="6" width="10" bestFit="1" customWidth="1"/>
    <col min="10" max="10" width="10" bestFit="1" customWidth="1"/>
    <col min="11" max="11" width="11" bestFit="1" customWidth="1"/>
  </cols>
  <sheetData>
    <row r="6" spans="5:17">
      <c r="E6">
        <v>8782849.1999999993</v>
      </c>
      <c r="F6">
        <v>701875.6</v>
      </c>
    </row>
    <row r="7" spans="5:17">
      <c r="E7">
        <v>971008.7</v>
      </c>
      <c r="F7">
        <v>205975.6</v>
      </c>
      <c r="K7">
        <v>200960.9</v>
      </c>
      <c r="L7">
        <v>21776.6</v>
      </c>
      <c r="P7">
        <v>353855.6</v>
      </c>
      <c r="Q7">
        <v>43720</v>
      </c>
    </row>
    <row r="8" spans="5:17">
      <c r="E8">
        <v>135562.70000000001</v>
      </c>
      <c r="F8">
        <v>564610.5</v>
      </c>
      <c r="K8">
        <v>29168.1</v>
      </c>
      <c r="L8">
        <v>979.4</v>
      </c>
      <c r="P8">
        <v>34569.199999999997</v>
      </c>
      <c r="Q8">
        <v>34356.1</v>
      </c>
    </row>
    <row r="9" spans="5:17">
      <c r="E9">
        <v>80029.899999999994</v>
      </c>
      <c r="F9">
        <v>91050</v>
      </c>
      <c r="K9">
        <v>19652.8</v>
      </c>
      <c r="L9">
        <v>1530.4</v>
      </c>
      <c r="P9">
        <v>48035.199999999997</v>
      </c>
      <c r="Q9">
        <v>3051.8</v>
      </c>
    </row>
    <row r="10" spans="5:17">
      <c r="E10">
        <f>SUM(E6:E9)</f>
        <v>9969450.4999999981</v>
      </c>
      <c r="F10">
        <f>SUM(F6:F9)</f>
        <v>1563511.7</v>
      </c>
      <c r="K10">
        <f>SUM(K7:K9)</f>
        <v>249781.8</v>
      </c>
      <c r="L10">
        <f>SUM(L7:L9)</f>
        <v>24286.400000000001</v>
      </c>
      <c r="P10">
        <f>SUM(P7:P9)</f>
        <v>436460</v>
      </c>
      <c r="Q10">
        <f>SUM(Q7:Q9)</f>
        <v>81127.900000000009</v>
      </c>
    </row>
    <row r="11" spans="5:17">
      <c r="E11">
        <f>E10+F10</f>
        <v>11532962.199999997</v>
      </c>
      <c r="K11">
        <f>K10+L10</f>
        <v>274068.2</v>
      </c>
      <c r="P11">
        <f>P10+Q10</f>
        <v>517587.9</v>
      </c>
    </row>
    <row r="13" spans="5:17">
      <c r="E13">
        <f>E11+K11+P11</f>
        <v>12324618.299999997</v>
      </c>
    </row>
    <row r="14" spans="5:17">
      <c r="E14">
        <f>E20-E13</f>
        <v>0</v>
      </c>
    </row>
    <row r="16" spans="5:17">
      <c r="J16">
        <v>124041.3</v>
      </c>
      <c r="K16">
        <v>2694025.13</v>
      </c>
      <c r="N16">
        <v>66088.14</v>
      </c>
      <c r="Q16">
        <v>68803.199999999997</v>
      </c>
    </row>
    <row r="17" spans="5:17">
      <c r="E17">
        <v>10655692.300000001</v>
      </c>
      <c r="J17">
        <v>16614</v>
      </c>
      <c r="K17">
        <v>237653.57</v>
      </c>
      <c r="N17">
        <v>2210.9</v>
      </c>
      <c r="Q17">
        <v>140</v>
      </c>
    </row>
    <row r="18" spans="5:17">
      <c r="E18">
        <v>1668926</v>
      </c>
      <c r="J18">
        <v>33914.6</v>
      </c>
      <c r="K18">
        <v>2807676.37</v>
      </c>
      <c r="M18">
        <v>33011.300000000003</v>
      </c>
      <c r="N18">
        <v>301025.55</v>
      </c>
      <c r="P18">
        <v>634.1</v>
      </c>
      <c r="Q18">
        <v>37737.800000000003</v>
      </c>
    </row>
    <row r="19" spans="5:17">
      <c r="J19">
        <v>0</v>
      </c>
      <c r="K19">
        <v>813543.43</v>
      </c>
      <c r="N19">
        <v>11972.2</v>
      </c>
      <c r="Q19">
        <v>0</v>
      </c>
    </row>
    <row r="20" spans="5:17">
      <c r="E20">
        <f>SUM(E17:E19)</f>
        <v>12324618.300000001</v>
      </c>
      <c r="J20">
        <f>SUM(J16:J19)</f>
        <v>174569.9</v>
      </c>
      <c r="K20">
        <f>SUM(K16:K19)</f>
        <v>6552898.5</v>
      </c>
      <c r="M20">
        <f>SUM(M16:M19)</f>
        <v>33011.300000000003</v>
      </c>
      <c r="N20">
        <f>SUM(N16:N19)</f>
        <v>381296.79</v>
      </c>
      <c r="Q20">
        <f>SUM(Q16:Q19)</f>
        <v>106681</v>
      </c>
    </row>
    <row r="21" spans="5:17">
      <c r="J21">
        <f>J20+K20</f>
        <v>6727468.4000000004</v>
      </c>
      <c r="N21">
        <f>M20+N20</f>
        <v>414308.08999999997</v>
      </c>
      <c r="P21">
        <f>Q20+P18</f>
        <v>107315.1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4:R20"/>
  <sheetViews>
    <sheetView workbookViewId="0">
      <selection activeCell="C4" sqref="C4:I10"/>
    </sheetView>
  </sheetViews>
  <sheetFormatPr defaultRowHeight="15"/>
  <cols>
    <col min="4" max="4" width="10" bestFit="1" customWidth="1"/>
  </cols>
  <sheetData>
    <row r="4" spans="3:18">
      <c r="C4" t="s">
        <v>11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L4" t="s">
        <v>22</v>
      </c>
      <c r="M4" t="s">
        <v>16</v>
      </c>
      <c r="N4" t="s">
        <v>17</v>
      </c>
      <c r="O4" t="s">
        <v>18</v>
      </c>
      <c r="P4" t="s">
        <v>19</v>
      </c>
      <c r="Q4" t="s">
        <v>20</v>
      </c>
      <c r="R4" t="s">
        <v>21</v>
      </c>
    </row>
    <row r="5" spans="3:18">
      <c r="C5" t="s">
        <v>12</v>
      </c>
      <c r="D5">
        <v>353855.6</v>
      </c>
      <c r="E5">
        <v>43720</v>
      </c>
      <c r="F5">
        <v>8</v>
      </c>
      <c r="G5">
        <f>D5*F5/1000</f>
        <v>2830.8447999999999</v>
      </c>
      <c r="H5">
        <f>E5*F5/1000</f>
        <v>349.76</v>
      </c>
      <c r="I5">
        <f>G5+H5</f>
        <v>3180.6048000000001</v>
      </c>
      <c r="L5" t="s">
        <v>12</v>
      </c>
      <c r="M5">
        <v>200960.9</v>
      </c>
      <c r="N5">
        <v>21776.6</v>
      </c>
      <c r="O5">
        <v>8</v>
      </c>
      <c r="P5">
        <f>M5*O5/1000</f>
        <v>1607.6871999999998</v>
      </c>
      <c r="Q5">
        <f>N5*O5/1000</f>
        <v>174.21279999999999</v>
      </c>
      <c r="R5">
        <f>P5+Q5</f>
        <v>1781.8999999999999</v>
      </c>
    </row>
    <row r="6" spans="3:18">
      <c r="C6" t="s">
        <v>13</v>
      </c>
      <c r="D6">
        <v>34569.199999999997</v>
      </c>
      <c r="F6">
        <v>0.6</v>
      </c>
      <c r="G6">
        <f t="shared" ref="G6:G8" si="0">D6*F6/1000</f>
        <v>20.741519999999998</v>
      </c>
      <c r="H6">
        <f t="shared" ref="H6:H7" si="1">E6*F6/1000</f>
        <v>0</v>
      </c>
      <c r="I6">
        <f t="shared" ref="I6:I8" si="2">G6+H6</f>
        <v>20.741519999999998</v>
      </c>
      <c r="L6" t="s">
        <v>13</v>
      </c>
      <c r="M6">
        <v>29168.1</v>
      </c>
      <c r="O6">
        <v>0.6</v>
      </c>
      <c r="P6">
        <f t="shared" ref="P6:P8" si="3">M6*O6/1000</f>
        <v>17.500859999999996</v>
      </c>
      <c r="Q6">
        <f t="shared" ref="Q6:Q7" si="4">N6*O6/1000</f>
        <v>0</v>
      </c>
      <c r="R6">
        <f t="shared" ref="R6:R8" si="5">P6+Q6</f>
        <v>17.500859999999996</v>
      </c>
    </row>
    <row r="7" spans="3:18">
      <c r="C7" t="s">
        <v>14</v>
      </c>
      <c r="D7">
        <v>48035</v>
      </c>
      <c r="E7">
        <v>34356.1</v>
      </c>
      <c r="F7">
        <v>0.6</v>
      </c>
      <c r="G7">
        <f t="shared" si="0"/>
        <v>28.821000000000002</v>
      </c>
      <c r="H7">
        <f t="shared" si="1"/>
        <v>20.613659999999999</v>
      </c>
      <c r="I7">
        <f t="shared" si="2"/>
        <v>49.434660000000001</v>
      </c>
      <c r="L7" t="s">
        <v>14</v>
      </c>
      <c r="M7">
        <v>19652.8</v>
      </c>
      <c r="N7">
        <v>979.4</v>
      </c>
      <c r="O7">
        <v>0.6</v>
      </c>
      <c r="P7">
        <f t="shared" si="3"/>
        <v>11.791679999999998</v>
      </c>
      <c r="Q7">
        <f t="shared" si="4"/>
        <v>0.58763999999999994</v>
      </c>
      <c r="R7">
        <f t="shared" si="5"/>
        <v>12.379319999999998</v>
      </c>
    </row>
    <row r="8" spans="3:18">
      <c r="C8" t="s">
        <v>15</v>
      </c>
      <c r="D8">
        <v>0</v>
      </c>
      <c r="E8">
        <v>3051.8</v>
      </c>
      <c r="F8">
        <v>0.6</v>
      </c>
      <c r="G8">
        <f t="shared" si="0"/>
        <v>0</v>
      </c>
      <c r="H8">
        <f>E8*F8/1000</f>
        <v>1.8310800000000003</v>
      </c>
      <c r="I8">
        <f t="shared" si="2"/>
        <v>1.8310800000000003</v>
      </c>
      <c r="L8" t="s">
        <v>15</v>
      </c>
      <c r="N8">
        <v>1530.4</v>
      </c>
      <c r="O8">
        <v>0.6</v>
      </c>
      <c r="P8">
        <f t="shared" si="3"/>
        <v>0</v>
      </c>
      <c r="Q8">
        <f>N8*O8/1000</f>
        <v>0.91824000000000006</v>
      </c>
      <c r="R8">
        <f t="shared" si="5"/>
        <v>0.91824000000000006</v>
      </c>
    </row>
    <row r="9" spans="3:18">
      <c r="G9">
        <f>SUM(G5:G8)</f>
        <v>2880.4073199999998</v>
      </c>
      <c r="H9">
        <f>SUM(H5:H8)</f>
        <v>372.20473999999996</v>
      </c>
      <c r="I9">
        <f>SUM(I5:I8)</f>
        <v>3252.6120599999999</v>
      </c>
      <c r="P9">
        <f>SUM(P5:P8)</f>
        <v>1636.97974</v>
      </c>
      <c r="Q9">
        <f>SUM(Q5:Q8)</f>
        <v>175.71867999999998</v>
      </c>
      <c r="R9">
        <f>SUM(R5:R8)</f>
        <v>1812.6984199999999</v>
      </c>
    </row>
    <row r="10" spans="3:18">
      <c r="G10">
        <f>G9+H9</f>
        <v>3252.6120599999999</v>
      </c>
      <c r="P10">
        <f>P9+Q9</f>
        <v>1812.6984199999999</v>
      </c>
    </row>
    <row r="14" spans="3:18">
      <c r="C14" t="s">
        <v>23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</row>
    <row r="15" spans="3:18">
      <c r="C15" t="s">
        <v>12</v>
      </c>
      <c r="D15">
        <v>8782849.1999999993</v>
      </c>
      <c r="E15">
        <v>701875.6</v>
      </c>
      <c r="F15">
        <v>2.41</v>
      </c>
      <c r="G15">
        <f>D15*F15/1000</f>
        <v>21166.666572000002</v>
      </c>
      <c r="H15">
        <f>E15*F15/1000</f>
        <v>1691.5201959999999</v>
      </c>
      <c r="I15">
        <f>G15+H15</f>
        <v>22858.186768000003</v>
      </c>
    </row>
    <row r="16" spans="3:18">
      <c r="C16" t="s">
        <v>13</v>
      </c>
      <c r="D16">
        <v>971008.7</v>
      </c>
      <c r="E16">
        <v>205975.6</v>
      </c>
      <c r="F16">
        <v>0.6</v>
      </c>
      <c r="G16">
        <f t="shared" ref="G16:G18" si="6">D16*F16/1000</f>
        <v>582.60521999999992</v>
      </c>
      <c r="H16">
        <f t="shared" ref="H16:H17" si="7">E16*F16/1000</f>
        <v>123.58535999999999</v>
      </c>
      <c r="I16">
        <f t="shared" ref="I16:I18" si="8">G16+H16</f>
        <v>706.19057999999995</v>
      </c>
    </row>
    <row r="17" spans="3:9">
      <c r="C17" t="s">
        <v>14</v>
      </c>
      <c r="D17">
        <v>135562.70000000001</v>
      </c>
      <c r="E17">
        <v>564610.5</v>
      </c>
      <c r="F17">
        <v>0.6</v>
      </c>
      <c r="G17">
        <f t="shared" si="6"/>
        <v>81.337620000000015</v>
      </c>
      <c r="H17">
        <f t="shared" si="7"/>
        <v>338.7663</v>
      </c>
      <c r="I17">
        <f t="shared" si="8"/>
        <v>420.10392000000002</v>
      </c>
    </row>
    <row r="18" spans="3:9">
      <c r="C18" t="s">
        <v>15</v>
      </c>
      <c r="D18">
        <v>80029.899999999994</v>
      </c>
      <c r="E18">
        <v>91050</v>
      </c>
      <c r="F18">
        <v>0.6</v>
      </c>
      <c r="G18">
        <f t="shared" si="6"/>
        <v>48.017939999999996</v>
      </c>
      <c r="H18">
        <f>E18*F18/1000</f>
        <v>54.63</v>
      </c>
      <c r="I18">
        <f t="shared" si="8"/>
        <v>102.64794000000001</v>
      </c>
    </row>
    <row r="19" spans="3:9">
      <c r="G19">
        <f>SUM(G15:G18)</f>
        <v>21878.627352000003</v>
      </c>
      <c r="H19">
        <f>SUM(H15:H18)</f>
        <v>2208.5018559999999</v>
      </c>
      <c r="I19">
        <f>SUM(I15:I18)</f>
        <v>24087.129208000002</v>
      </c>
    </row>
    <row r="20" spans="3:9">
      <c r="G20">
        <f>G19+H19</f>
        <v>24087.129208000002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R22"/>
  <sheetViews>
    <sheetView workbookViewId="0">
      <selection activeCell="N18" sqref="N18"/>
    </sheetView>
  </sheetViews>
  <sheetFormatPr defaultRowHeight="15"/>
  <cols>
    <col min="13" max="13" width="14.85546875" customWidth="1"/>
  </cols>
  <sheetData>
    <row r="3" spans="2:18">
      <c r="B3" t="s">
        <v>11</v>
      </c>
      <c r="C3" t="s">
        <v>24</v>
      </c>
      <c r="D3" t="s">
        <v>25</v>
      </c>
      <c r="E3" t="s">
        <v>18</v>
      </c>
      <c r="F3" t="s">
        <v>26</v>
      </c>
      <c r="G3" t="s">
        <v>19</v>
      </c>
      <c r="H3" t="s">
        <v>20</v>
      </c>
      <c r="I3" t="s">
        <v>21</v>
      </c>
      <c r="K3" t="s">
        <v>27</v>
      </c>
      <c r="L3" t="s">
        <v>24</v>
      </c>
      <c r="M3" t="s">
        <v>25</v>
      </c>
      <c r="N3" t="s">
        <v>18</v>
      </c>
      <c r="O3" t="s">
        <v>26</v>
      </c>
      <c r="P3" t="s">
        <v>19</v>
      </c>
      <c r="Q3" t="s">
        <v>20</v>
      </c>
      <c r="R3" t="s">
        <v>21</v>
      </c>
    </row>
    <row r="4" spans="2:18">
      <c r="B4" t="s">
        <v>12</v>
      </c>
      <c r="D4">
        <v>68803.199999999997</v>
      </c>
      <c r="E4">
        <v>8</v>
      </c>
      <c r="F4">
        <v>8.5</v>
      </c>
      <c r="G4">
        <f>C4*E4/1000</f>
        <v>0</v>
      </c>
      <c r="H4">
        <f>D4*F4/1000</f>
        <v>584.82719999999995</v>
      </c>
      <c r="I4">
        <f>G4+H4</f>
        <v>584.82719999999995</v>
      </c>
      <c r="K4" t="s">
        <v>12</v>
      </c>
      <c r="M4">
        <v>6088.14</v>
      </c>
      <c r="N4">
        <v>8</v>
      </c>
      <c r="O4">
        <v>8.5</v>
      </c>
      <c r="P4">
        <f>L4*N4/1000</f>
        <v>0</v>
      </c>
      <c r="Q4">
        <f>M4*O4/1000</f>
        <v>51.749190000000006</v>
      </c>
      <c r="R4">
        <f>P4+Q4</f>
        <v>51.749190000000006</v>
      </c>
    </row>
    <row r="5" spans="2:18">
      <c r="B5" t="s">
        <v>13</v>
      </c>
      <c r="D5">
        <v>140</v>
      </c>
      <c r="E5">
        <v>0.6</v>
      </c>
      <c r="F5">
        <v>0.6</v>
      </c>
      <c r="G5">
        <f t="shared" ref="G5:G7" si="0">C5*E5/1000</f>
        <v>0</v>
      </c>
      <c r="H5">
        <f t="shared" ref="H5:H7" si="1">D5*F5/1000</f>
        <v>8.4000000000000005E-2</v>
      </c>
      <c r="I5">
        <f t="shared" ref="I5:I7" si="2">G5+H5</f>
        <v>8.4000000000000005E-2</v>
      </c>
      <c r="K5" t="s">
        <v>13</v>
      </c>
      <c r="M5">
        <v>2210.9</v>
      </c>
      <c r="N5">
        <v>0.6</v>
      </c>
      <c r="O5">
        <v>0.6</v>
      </c>
      <c r="P5">
        <f t="shared" ref="P5:P7" si="3">L5*N5/1000</f>
        <v>0</v>
      </c>
      <c r="Q5">
        <f t="shared" ref="Q5:Q7" si="4">M5*O5/1000</f>
        <v>1.3265400000000001</v>
      </c>
      <c r="R5">
        <f t="shared" ref="R5:R7" si="5">P5+Q5</f>
        <v>1.3265400000000001</v>
      </c>
    </row>
    <row r="6" spans="2:18">
      <c r="B6" t="s">
        <v>14</v>
      </c>
      <c r="C6">
        <v>634.1</v>
      </c>
      <c r="D6">
        <v>37737.800000000003</v>
      </c>
      <c r="E6">
        <v>0.6</v>
      </c>
      <c r="F6">
        <v>0.6</v>
      </c>
      <c r="G6">
        <f t="shared" si="0"/>
        <v>0.38045999999999996</v>
      </c>
      <c r="H6">
        <f t="shared" si="1"/>
        <v>22.642679999999999</v>
      </c>
      <c r="I6">
        <f t="shared" si="2"/>
        <v>23.023139999999998</v>
      </c>
      <c r="K6" t="s">
        <v>14</v>
      </c>
      <c r="L6">
        <v>33011.300000000003</v>
      </c>
      <c r="M6">
        <v>301025.55</v>
      </c>
      <c r="N6">
        <v>0.6</v>
      </c>
      <c r="O6">
        <v>0.6</v>
      </c>
      <c r="P6">
        <f t="shared" si="3"/>
        <v>19.806780000000003</v>
      </c>
      <c r="Q6">
        <f t="shared" si="4"/>
        <v>180.61533</v>
      </c>
      <c r="R6">
        <f t="shared" si="5"/>
        <v>200.42211</v>
      </c>
    </row>
    <row r="7" spans="2:18">
      <c r="B7" t="s">
        <v>15</v>
      </c>
      <c r="C7">
        <v>0</v>
      </c>
      <c r="D7">
        <v>0</v>
      </c>
      <c r="E7">
        <v>0.6</v>
      </c>
      <c r="F7">
        <v>0.6</v>
      </c>
      <c r="G7">
        <f t="shared" si="0"/>
        <v>0</v>
      </c>
      <c r="H7">
        <f t="shared" si="1"/>
        <v>0</v>
      </c>
      <c r="I7">
        <f t="shared" si="2"/>
        <v>0</v>
      </c>
      <c r="K7" t="s">
        <v>15</v>
      </c>
      <c r="L7">
        <v>0</v>
      </c>
      <c r="M7">
        <v>11972.2</v>
      </c>
      <c r="N7">
        <v>0.6</v>
      </c>
      <c r="O7">
        <v>0.6</v>
      </c>
      <c r="P7">
        <f t="shared" si="3"/>
        <v>0</v>
      </c>
      <c r="Q7">
        <f t="shared" si="4"/>
        <v>7.183320000000001</v>
      </c>
      <c r="R7">
        <f t="shared" si="5"/>
        <v>7.183320000000001</v>
      </c>
    </row>
    <row r="8" spans="2:18">
      <c r="G8">
        <f>SUM(G4:G7)</f>
        <v>0.38045999999999996</v>
      </c>
      <c r="H8">
        <f>SUM(H4:H7)</f>
        <v>607.55387999999994</v>
      </c>
      <c r="I8">
        <f>SUM(I4:I7)</f>
        <v>607.93433999999991</v>
      </c>
      <c r="P8">
        <f>SUM(P4:P7)</f>
        <v>19.806780000000003</v>
      </c>
      <c r="Q8">
        <f>SUM(Q4:Q7)</f>
        <v>240.87438</v>
      </c>
      <c r="R8">
        <f>SUM(R4:R7)</f>
        <v>260.68115999999998</v>
      </c>
    </row>
    <row r="9" spans="2:18">
      <c r="G9">
        <f>G8+H8</f>
        <v>607.93433999999991</v>
      </c>
      <c r="P9">
        <f>P8+Q8</f>
        <v>260.68115999999998</v>
      </c>
    </row>
    <row r="16" spans="2:18">
      <c r="K16" t="s">
        <v>27</v>
      </c>
      <c r="L16" t="s">
        <v>24</v>
      </c>
      <c r="M16" t="s">
        <v>25</v>
      </c>
      <c r="N16" t="s">
        <v>18</v>
      </c>
      <c r="O16" t="s">
        <v>26</v>
      </c>
      <c r="P16" t="s">
        <v>19</v>
      </c>
      <c r="Q16" t="s">
        <v>20</v>
      </c>
      <c r="R16" t="s">
        <v>21</v>
      </c>
    </row>
    <row r="17" spans="11:18">
      <c r="K17" t="s">
        <v>12</v>
      </c>
      <c r="L17">
        <v>124041.3</v>
      </c>
      <c r="M17">
        <v>2694025.13</v>
      </c>
      <c r="N17">
        <v>2.41</v>
      </c>
      <c r="O17">
        <v>8.5</v>
      </c>
      <c r="P17">
        <f>L17*N17/1000</f>
        <v>298.93953299999998</v>
      </c>
      <c r="Q17">
        <f>M17*O17/1000</f>
        <v>22899.213605000001</v>
      </c>
      <c r="R17">
        <f>P17+Q17</f>
        <v>23198.153138000001</v>
      </c>
    </row>
    <row r="18" spans="11:18">
      <c r="K18" t="s">
        <v>13</v>
      </c>
      <c r="L18">
        <v>16614</v>
      </c>
      <c r="M18">
        <v>237653.57</v>
      </c>
      <c r="N18">
        <v>0.6</v>
      </c>
      <c r="O18">
        <v>0.6</v>
      </c>
      <c r="P18">
        <f t="shared" ref="P18:P20" si="6">L18*N18/1000</f>
        <v>9.968399999999999</v>
      </c>
      <c r="Q18">
        <f t="shared" ref="Q18:Q20" si="7">M18*O18/1000</f>
        <v>142.592142</v>
      </c>
      <c r="R18">
        <f t="shared" ref="R18:R20" si="8">P18+Q18</f>
        <v>152.560542</v>
      </c>
    </row>
    <row r="19" spans="11:18">
      <c r="K19" t="s">
        <v>14</v>
      </c>
      <c r="L19">
        <v>33914.6</v>
      </c>
      <c r="M19">
        <v>2807676.37</v>
      </c>
      <c r="N19">
        <v>0.6</v>
      </c>
      <c r="O19">
        <v>0.6</v>
      </c>
      <c r="P19">
        <f t="shared" si="6"/>
        <v>20.348759999999999</v>
      </c>
      <c r="Q19">
        <f t="shared" si="7"/>
        <v>1684.605822</v>
      </c>
      <c r="R19">
        <f t="shared" si="8"/>
        <v>1704.9545820000001</v>
      </c>
    </row>
    <row r="20" spans="11:18">
      <c r="K20" t="s">
        <v>15</v>
      </c>
      <c r="L20">
        <v>0</v>
      </c>
      <c r="M20">
        <v>813543.43</v>
      </c>
      <c r="N20">
        <v>0.6</v>
      </c>
      <c r="O20">
        <v>0.6</v>
      </c>
      <c r="P20">
        <f t="shared" si="6"/>
        <v>0</v>
      </c>
      <c r="Q20">
        <f t="shared" si="7"/>
        <v>488.126058</v>
      </c>
      <c r="R20">
        <f t="shared" si="8"/>
        <v>488.126058</v>
      </c>
    </row>
    <row r="21" spans="11:18">
      <c r="P21">
        <f>SUM(P17:P20)</f>
        <v>329.25669299999993</v>
      </c>
      <c r="Q21">
        <f>SUM(Q17:Q20)</f>
        <v>25214.537627000005</v>
      </c>
      <c r="R21">
        <f>SUM(R17:R20)</f>
        <v>25543.794320000001</v>
      </c>
    </row>
    <row r="22" spans="11:18">
      <c r="P22">
        <f>P21+Q21</f>
        <v>25543.794320000005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M15"/>
  <sheetViews>
    <sheetView workbookViewId="0">
      <selection activeCell="M15" sqref="M13:M15"/>
    </sheetView>
  </sheetViews>
  <sheetFormatPr defaultRowHeight="15"/>
  <sheetData>
    <row r="4" spans="2:13">
      <c r="B4">
        <v>7000</v>
      </c>
      <c r="C4">
        <v>12</v>
      </c>
      <c r="D4">
        <f>B4*C4</f>
        <v>84000</v>
      </c>
    </row>
    <row r="5" spans="2:13">
      <c r="B5">
        <v>13000</v>
      </c>
      <c r="D5">
        <v>13000</v>
      </c>
      <c r="G5" t="s">
        <v>28</v>
      </c>
      <c r="H5">
        <v>862</v>
      </c>
      <c r="I5">
        <f>862*1.2</f>
        <v>1034.3999999999999</v>
      </c>
      <c r="J5">
        <f>300*12</f>
        <v>3600</v>
      </c>
      <c r="K5">
        <f>I5*12+J5</f>
        <v>16012.8</v>
      </c>
    </row>
    <row r="6" spans="2:13">
      <c r="D6">
        <v>7000</v>
      </c>
      <c r="G6" t="s">
        <v>27</v>
      </c>
      <c r="H6">
        <v>200</v>
      </c>
      <c r="I6">
        <v>0.7</v>
      </c>
      <c r="J6">
        <v>4</v>
      </c>
      <c r="K6">
        <f>H6*I6*J6</f>
        <v>560</v>
      </c>
      <c r="L6">
        <f>K6*1.2</f>
        <v>672</v>
      </c>
      <c r="M6">
        <f>L6*12</f>
        <v>8064</v>
      </c>
    </row>
    <row r="7" spans="2:13">
      <c r="D7">
        <v>20000</v>
      </c>
      <c r="J7">
        <v>200</v>
      </c>
      <c r="M7">
        <f>J7*12</f>
        <v>2400</v>
      </c>
    </row>
    <row r="8" spans="2:13">
      <c r="D8">
        <f>SUM(D4:D7)</f>
        <v>124000</v>
      </c>
      <c r="H8">
        <v>6</v>
      </c>
      <c r="I8">
        <v>6.05</v>
      </c>
      <c r="J8">
        <v>4</v>
      </c>
      <c r="K8">
        <f>H8*I8*J8</f>
        <v>145.19999999999999</v>
      </c>
      <c r="L8">
        <f>K8*1.2</f>
        <v>174.23999999999998</v>
      </c>
      <c r="M8">
        <f>L8*12</f>
        <v>2090.8799999999997</v>
      </c>
    </row>
    <row r="9" spans="2:13">
      <c r="M9">
        <f>SUM(M6:M8)</f>
        <v>12554.88</v>
      </c>
    </row>
    <row r="11" spans="2:13">
      <c r="G11" t="s">
        <v>23</v>
      </c>
      <c r="H11">
        <v>1100</v>
      </c>
      <c r="I11">
        <v>0.7</v>
      </c>
      <c r="J11">
        <v>4</v>
      </c>
      <c r="K11">
        <f>H11*I11*J11</f>
        <v>3080</v>
      </c>
      <c r="L11">
        <f>K11*1.2</f>
        <v>3696</v>
      </c>
      <c r="M11">
        <f>L11*12</f>
        <v>44352</v>
      </c>
    </row>
    <row r="12" spans="2:13">
      <c r="H12">
        <v>49</v>
      </c>
      <c r="I12">
        <v>6.05</v>
      </c>
      <c r="J12">
        <v>4</v>
      </c>
      <c r="K12">
        <f>H12*I12*J12</f>
        <v>1185.8</v>
      </c>
      <c r="L12">
        <f>K12*1.2</f>
        <v>1422.9599999999998</v>
      </c>
      <c r="M12">
        <f>L12*12</f>
        <v>17075.519999999997</v>
      </c>
    </row>
    <row r="13" spans="2:13">
      <c r="L13">
        <f>L12+L11+L8+L6+I5</f>
        <v>6999.5999999999995</v>
      </c>
      <c r="M13">
        <f>SUM(M11:M12)</f>
        <v>61427.519999999997</v>
      </c>
    </row>
    <row r="14" spans="2:13">
      <c r="H14" t="s">
        <v>29</v>
      </c>
      <c r="M14">
        <f>13000-M7-J5</f>
        <v>7000</v>
      </c>
    </row>
    <row r="15" spans="2:13">
      <c r="M15">
        <f>SUM(M13:M14)</f>
        <v>68427.51999999999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OIK-Sarmitsa</cp:lastModifiedBy>
  <cp:lastPrinted>2017-11-16T10:06:24Z</cp:lastPrinted>
  <dcterms:created xsi:type="dcterms:W3CDTF">2015-12-12T07:05:07Z</dcterms:created>
  <dcterms:modified xsi:type="dcterms:W3CDTF">2017-11-22T14:39:06Z</dcterms:modified>
</cp:coreProperties>
</file>