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ТБО 2024\"/>
    </mc:Choice>
  </mc:AlternateContent>
  <xr:revisionPtr revIDLastSave="0" documentId="13_ncr:1_{A3CB7907-BF35-4149-AC91-6CB2CAA853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9" i="1" l="1"/>
  <c r="G25" i="1"/>
  <c r="G24" i="1"/>
  <c r="G23" i="1"/>
  <c r="G22" i="1"/>
  <c r="K26" i="1"/>
  <c r="J26" i="1"/>
  <c r="G26" i="1"/>
  <c r="F8" i="1"/>
  <c r="F7" i="1"/>
  <c r="E8" i="1"/>
  <c r="E7" i="1"/>
  <c r="F6" i="1"/>
  <c r="E6" i="1"/>
  <c r="K25" i="1"/>
  <c r="J15" i="1"/>
  <c r="K15" i="1"/>
  <c r="G15" i="1"/>
  <c r="L26" i="1" l="1"/>
  <c r="J25" i="1"/>
  <c r="L25" i="1" s="1"/>
  <c r="G8" i="1" l="1"/>
  <c r="M9" i="1" l="1"/>
  <c r="K24" i="1" l="1"/>
  <c r="J24" i="1"/>
  <c r="K23" i="1"/>
  <c r="J23" i="1"/>
  <c r="K22" i="1"/>
  <c r="K17" i="1" s="1"/>
  <c r="J22" i="1"/>
  <c r="L22" i="1" l="1"/>
  <c r="G17" i="1"/>
  <c r="J17" i="1"/>
  <c r="J9" i="1"/>
  <c r="L9" i="1"/>
  <c r="L17" i="1" l="1"/>
  <c r="K16" i="1"/>
  <c r="I8" i="1"/>
  <c r="I7" i="1"/>
  <c r="I6" i="1"/>
  <c r="H8" i="1"/>
  <c r="H7" i="1"/>
  <c r="H6" i="1"/>
  <c r="N6" i="1" l="1"/>
  <c r="J16" i="1"/>
  <c r="G16" i="1"/>
  <c r="L27" i="1" l="1"/>
  <c r="L23" i="1" l="1"/>
  <c r="L24" i="1"/>
  <c r="K29" i="1"/>
  <c r="L15" i="1"/>
  <c r="G7" i="1"/>
  <c r="G6" i="1"/>
  <c r="D7" i="1"/>
  <c r="D8" i="1"/>
  <c r="D6" i="1"/>
  <c r="G9" i="1" l="1"/>
  <c r="J29" i="1"/>
  <c r="C9" i="1"/>
  <c r="G29" i="1" l="1"/>
  <c r="L28" i="1" l="1"/>
  <c r="L29" i="1" s="1"/>
  <c r="N8" i="1"/>
  <c r="N7" i="1"/>
  <c r="F9" i="1"/>
  <c r="I9" i="1" s="1"/>
  <c r="D9" i="1"/>
  <c r="E9" i="1"/>
  <c r="H9" i="1" s="1"/>
  <c r="B9" i="1"/>
  <c r="N9" i="1" l="1"/>
</calcChain>
</file>

<file path=xl/sharedStrings.xml><?xml version="1.0" encoding="utf-8"?>
<sst xmlns="http://schemas.openxmlformats.org/spreadsheetml/2006/main" count="43" uniqueCount="38">
  <si>
    <t xml:space="preserve">Сърница </t>
  </si>
  <si>
    <t>Побит камък</t>
  </si>
  <si>
    <t>Медени поляни</t>
  </si>
  <si>
    <t>ФЛ</t>
  </si>
  <si>
    <t>ЮЛ</t>
  </si>
  <si>
    <t xml:space="preserve">ФЛ </t>
  </si>
  <si>
    <t xml:space="preserve">ЮЛ </t>
  </si>
  <si>
    <t>ОБЩО</t>
  </si>
  <si>
    <t>Приходи</t>
  </si>
  <si>
    <t>ТБО ФЛ</t>
  </si>
  <si>
    <t>ТБО ЮЛ</t>
  </si>
  <si>
    <t>Приложение №1</t>
  </si>
  <si>
    <t>I. Приходи</t>
  </si>
  <si>
    <t>II. Разходи</t>
  </si>
  <si>
    <t>Населено място</t>
  </si>
  <si>
    <t>Общо</t>
  </si>
  <si>
    <t>Наименование</t>
  </si>
  <si>
    <t xml:space="preserve">2. Събиране, включително разделно, на битовите отпадъци и транспортирането им до депата или други инсталации и съоръжения за третирането им
</t>
  </si>
  <si>
    <t xml:space="preserve">3. Проучване, проектиране, изграждане, поддържане, експлоатация, закриване и мониторинг на депата за битови отпадъци или други инсталации или съоръжения за обезвреждане, рециклиране и оползотворяване на битови отпадъци, включително отчисленията по чл. 60 и 64 от Закона за управление на отпадъците
</t>
  </si>
  <si>
    <t xml:space="preserve">     3.1.  Отчисления по чл. 60 от ЗУО</t>
  </si>
  <si>
    <t xml:space="preserve">     3.2.  Отчисления от чл.64 от ЗУО</t>
  </si>
  <si>
    <t>1. Осигуряване на съдове за съхраняване на битовите отпадъци - контейнери, кофи и други</t>
  </si>
  <si>
    <t xml:space="preserve">гр.  Сърница </t>
  </si>
  <si>
    <t>с. Побит камък</t>
  </si>
  <si>
    <t>с. Медени поляни</t>
  </si>
  <si>
    <t>Дофинансиране от други общински приходи</t>
  </si>
  <si>
    <t xml:space="preserve">4. Поддържане на чистотата на уличните платна, площадите, алеите, парковите и другите територии от населените места и селищните образувания в общината, предназначени за обществено ползване
</t>
  </si>
  <si>
    <t xml:space="preserve">     3.5. Проектиране на площадка за масово разпространени отпадъци и претоварна станция</t>
  </si>
  <si>
    <t>План сметка на община Сърница за 2024 година</t>
  </si>
  <si>
    <t>Данъчни основи за 2024г.</t>
  </si>
  <si>
    <t>Прогнозен облог за 2024г.</t>
  </si>
  <si>
    <t xml:space="preserve">     3.3. Разходи за депониране на БО</t>
  </si>
  <si>
    <t xml:space="preserve">     3.4 Разходи за компостираща инсталация</t>
  </si>
  <si>
    <t>Преходен остатък от такса битови отпадъци 2023 г.</t>
  </si>
  <si>
    <t>Възстановени средства през 2024 година по чл.60, ал.2, т.1 и чл. 64, ал.1 от Закона за управление на отпадъците</t>
  </si>
  <si>
    <t>Забележка: Община Сърница предвижда да събере ТБО за 2024, заедно с недобори от предходини години сумата от 217 966 лева. Сумата от 64 388 лева ще бъде дофинансиран от други общински приходи.</t>
  </si>
  <si>
    <t>Приходи от прождаби на фракции от предварително третиране на битови отпадъци</t>
  </si>
  <si>
    <t xml:space="preserve">     3.4. Разходи за съдеве за разделно събиране на битови отпадъци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</si>
</sst>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л_в_._-;\-* #,##0.00\ _л_в_._-;_-* &quot;-&quot;??\ _л_в_._-;_-@_-"/>
    <numFmt numFmtId="165" formatCode="_-* #,##0\ _л_в_._-;\-* #,##0\ _л_в_._-;_-* &quot;-&quot;??\ _л_в_._-;_-@_-"/>
    <numFmt numFmtId="166" formatCode="#,##0.00_ ;\-#,##0.00\ "/>
  </numFmts>
  <fonts count="9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4" fontId="1" fillId="0" borderId="0" xfId="0" applyNumberFormat="1" applyFont="1"/>
    <xf numFmtId="0" fontId="2" fillId="0" borderId="0" xfId="0" applyFont="1" applyAlignment="1">
      <alignment horizontal="center" wrapText="1"/>
    </xf>
    <xf numFmtId="0" fontId="4" fillId="2" borderId="22" xfId="0" applyFont="1" applyFill="1" applyBorder="1"/>
    <xf numFmtId="0" fontId="4" fillId="2" borderId="23" xfId="0" applyFont="1" applyFill="1" applyBorder="1"/>
    <xf numFmtId="0" fontId="4" fillId="2" borderId="24" xfId="0" applyFont="1" applyFill="1" applyBorder="1"/>
    <xf numFmtId="0" fontId="4" fillId="2" borderId="16" xfId="0" applyFont="1" applyFill="1" applyBorder="1"/>
    <xf numFmtId="0" fontId="4" fillId="2" borderId="29" xfId="0" applyFont="1" applyFill="1" applyBorder="1"/>
    <xf numFmtId="0" fontId="4" fillId="2" borderId="30" xfId="0" applyFont="1" applyFill="1" applyBorder="1"/>
    <xf numFmtId="0" fontId="4" fillId="2" borderId="31" xfId="0" applyFont="1" applyFill="1" applyBorder="1"/>
    <xf numFmtId="165" fontId="5" fillId="2" borderId="26" xfId="0" applyNumberFormat="1" applyFont="1" applyFill="1" applyBorder="1"/>
    <xf numFmtId="165" fontId="5" fillId="2" borderId="21" xfId="0" applyNumberFormat="1" applyFont="1" applyFill="1" applyBorder="1"/>
    <xf numFmtId="165" fontId="5" fillId="2" borderId="32" xfId="0" applyNumberFormat="1" applyFont="1" applyFill="1" applyBorder="1"/>
    <xf numFmtId="165" fontId="4" fillId="2" borderId="36" xfId="0" applyNumberFormat="1" applyFont="1" applyFill="1" applyBorder="1"/>
    <xf numFmtId="165" fontId="4" fillId="2" borderId="33" xfId="0" applyNumberFormat="1" applyFont="1" applyFill="1" applyBorder="1"/>
    <xf numFmtId="165" fontId="4" fillId="2" borderId="34" xfId="0" applyNumberFormat="1" applyFont="1" applyFill="1" applyBorder="1"/>
    <xf numFmtId="164" fontId="4" fillId="0" borderId="14" xfId="0" applyNumberFormat="1" applyFont="1" applyBorder="1" applyAlignment="1">
      <alignment horizontal="center"/>
    </xf>
    <xf numFmtId="164" fontId="5" fillId="0" borderId="14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2" borderId="41" xfId="0" applyFont="1" applyFill="1" applyBorder="1"/>
    <xf numFmtId="0" fontId="4" fillId="2" borderId="38" xfId="0" applyFont="1" applyFill="1" applyBorder="1"/>
    <xf numFmtId="0" fontId="4" fillId="2" borderId="42" xfId="0" applyFont="1" applyFill="1" applyBorder="1"/>
    <xf numFmtId="0" fontId="4" fillId="0" borderId="21" xfId="0" applyFont="1" applyBorder="1"/>
    <xf numFmtId="164" fontId="4" fillId="0" borderId="21" xfId="0" applyNumberFormat="1" applyFont="1" applyBorder="1"/>
    <xf numFmtId="164" fontId="5" fillId="0" borderId="21" xfId="0" applyNumberFormat="1" applyFont="1" applyBorder="1"/>
    <xf numFmtId="164" fontId="3" fillId="0" borderId="27" xfId="0" applyNumberFormat="1" applyFont="1" applyBorder="1" applyAlignment="1">
      <alignment horizontal="center"/>
    </xf>
    <xf numFmtId="164" fontId="3" fillId="0" borderId="24" xfId="0" applyNumberFormat="1" applyFont="1" applyBorder="1"/>
    <xf numFmtId="165" fontId="0" fillId="0" borderId="0" xfId="0" applyNumberFormat="1"/>
    <xf numFmtId="166" fontId="5" fillId="2" borderId="25" xfId="0" applyNumberFormat="1" applyFont="1" applyFill="1" applyBorder="1"/>
    <xf numFmtId="166" fontId="5" fillId="2" borderId="5" xfId="0" applyNumberFormat="1" applyFont="1" applyFill="1" applyBorder="1"/>
    <xf numFmtId="166" fontId="5" fillId="2" borderId="26" xfId="0" applyNumberFormat="1" applyFont="1" applyFill="1" applyBorder="1"/>
    <xf numFmtId="166" fontId="5" fillId="2" borderId="20" xfId="0" applyNumberFormat="1" applyFont="1" applyFill="1" applyBorder="1"/>
    <xf numFmtId="166" fontId="5" fillId="2" borderId="1" xfId="0" applyNumberFormat="1" applyFont="1" applyFill="1" applyBorder="1"/>
    <xf numFmtId="166" fontId="5" fillId="2" borderId="21" xfId="0" applyNumberFormat="1" applyFont="1" applyFill="1" applyBorder="1"/>
    <xf numFmtId="166" fontId="5" fillId="2" borderId="35" xfId="0" applyNumberFormat="1" applyFont="1" applyFill="1" applyBorder="1"/>
    <xf numFmtId="166" fontId="5" fillId="2" borderId="4" xfId="0" applyNumberFormat="1" applyFont="1" applyFill="1" applyBorder="1"/>
    <xf numFmtId="166" fontId="5" fillId="2" borderId="32" xfId="0" applyNumberFormat="1" applyFont="1" applyFill="1" applyBorder="1"/>
    <xf numFmtId="165" fontId="8" fillId="2" borderId="12" xfId="0" applyNumberFormat="1" applyFont="1" applyFill="1" applyBorder="1"/>
    <xf numFmtId="165" fontId="8" fillId="2" borderId="5" xfId="0" applyNumberFormat="1" applyFont="1" applyFill="1" applyBorder="1"/>
    <xf numFmtId="165" fontId="8" fillId="2" borderId="10" xfId="0" applyNumberFormat="1" applyFont="1" applyFill="1" applyBorder="1"/>
    <xf numFmtId="165" fontId="8" fillId="2" borderId="6" xfId="0" applyNumberFormat="1" applyFont="1" applyFill="1" applyBorder="1"/>
    <xf numFmtId="165" fontId="4" fillId="2" borderId="49" xfId="0" applyNumberFormat="1" applyFont="1" applyFill="1" applyBorder="1"/>
    <xf numFmtId="164" fontId="0" fillId="0" borderId="0" xfId="0" applyNumberFormat="1"/>
    <xf numFmtId="0" fontId="4" fillId="0" borderId="38" xfId="0" applyFont="1" applyBorder="1" applyAlignment="1">
      <alignment horizontal="center" wrapText="1"/>
    </xf>
    <xf numFmtId="165" fontId="4" fillId="2" borderId="50" xfId="0" applyNumberFormat="1" applyFont="1" applyFill="1" applyBorder="1"/>
    <xf numFmtId="0" fontId="6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/>
    </xf>
    <xf numFmtId="164" fontId="5" fillId="0" borderId="13" xfId="0" applyNumberFormat="1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164" fontId="5" fillId="0" borderId="14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4" fillId="2" borderId="46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8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5" fontId="8" fillId="0" borderId="37" xfId="0" applyNumberFormat="1" applyFont="1" applyBorder="1" applyAlignment="1">
      <alignment horizontal="center"/>
    </xf>
    <xf numFmtId="165" fontId="8" fillId="0" borderId="6" xfId="0" applyNumberFormat="1" applyFont="1" applyBorder="1" applyAlignment="1">
      <alignment horizontal="center"/>
    </xf>
    <xf numFmtId="0" fontId="4" fillId="0" borderId="20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164" fontId="4" fillId="0" borderId="13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64" fontId="4" fillId="0" borderId="14" xfId="0" applyNumberFormat="1" applyFont="1" applyBorder="1" applyAlignment="1">
      <alignment horizontal="center"/>
    </xf>
    <xf numFmtId="0" fontId="4" fillId="0" borderId="43" xfId="0" applyFont="1" applyBorder="1" applyAlignment="1">
      <alignment horizontal="left" wrapText="1"/>
    </xf>
    <xf numFmtId="0" fontId="4" fillId="0" borderId="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44" xfId="0" applyFont="1" applyBorder="1" applyAlignment="1">
      <alignment horizontal="left" wrapText="1"/>
    </xf>
    <xf numFmtId="0" fontId="4" fillId="0" borderId="15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4" fillId="0" borderId="45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10" xfId="0" applyFont="1" applyBorder="1" applyAlignment="1">
      <alignment horizontal="left" wrapText="1"/>
    </xf>
    <xf numFmtId="0" fontId="4" fillId="0" borderId="46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12" xfId="0" applyFont="1" applyBorder="1" applyAlignment="1">
      <alignment horizontal="left" wrapText="1"/>
    </xf>
    <xf numFmtId="164" fontId="4" fillId="0" borderId="7" xfId="0" applyNumberFormat="1" applyFont="1" applyBorder="1" applyAlignment="1">
      <alignment horizontal="center"/>
    </xf>
    <xf numFmtId="164" fontId="4" fillId="0" borderId="15" xfId="0" applyNumberFormat="1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164" fontId="4" fillId="0" borderId="10" xfId="0" applyNumberFormat="1" applyFont="1" applyBorder="1" applyAlignment="1">
      <alignment horizontal="center"/>
    </xf>
    <xf numFmtId="164" fontId="4" fillId="0" borderId="11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4" fontId="4" fillId="0" borderId="12" xfId="0" applyNumberFormat="1" applyFont="1" applyBorder="1" applyAlignment="1">
      <alignment horizontal="center"/>
    </xf>
    <xf numFmtId="0" fontId="5" fillId="0" borderId="43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3" borderId="4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5" fillId="3" borderId="14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5" fillId="0" borderId="4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0" fontId="4" fillId="2" borderId="28" xfId="0" applyFont="1" applyFill="1" applyBorder="1" applyAlignment="1">
      <alignment horizontal="center"/>
    </xf>
    <xf numFmtId="0" fontId="3" fillId="0" borderId="47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164" fontId="3" fillId="0" borderId="39" xfId="0" applyNumberFormat="1" applyFont="1" applyBorder="1" applyAlignment="1">
      <alignment horizontal="center"/>
    </xf>
    <xf numFmtId="164" fontId="3" fillId="0" borderId="40" xfId="0" applyNumberFormat="1" applyFont="1" applyBorder="1" applyAlignment="1">
      <alignment horizontal="center"/>
    </xf>
    <xf numFmtId="164" fontId="3" fillId="0" borderId="27" xfId="0" applyNumberFormat="1" applyFont="1" applyBorder="1" applyAlignment="1">
      <alignment horizontal="center"/>
    </xf>
    <xf numFmtId="0" fontId="5" fillId="0" borderId="43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5" fillId="0" borderId="14" xfId="0" applyFont="1" applyFill="1" applyBorder="1" applyAlignment="1">
      <alignment horizontal="left"/>
    </xf>
    <xf numFmtId="0" fontId="7" fillId="0" borderId="0" xfId="0" applyFont="1" applyFill="1" applyAlignment="1">
      <alignment horizontal="center"/>
    </xf>
    <xf numFmtId="0" fontId="4" fillId="0" borderId="38" xfId="0" applyFont="1" applyFill="1" applyBorder="1" applyAlignment="1">
      <alignment horizontal="center" wrapText="1"/>
    </xf>
    <xf numFmtId="165" fontId="8" fillId="0" borderId="37" xfId="0" applyNumberFormat="1" applyFont="1" applyFill="1" applyBorder="1" applyAlignment="1">
      <alignment horizontal="center"/>
    </xf>
    <xf numFmtId="165" fontId="8" fillId="0" borderId="6" xfId="0" applyNumberFormat="1" applyFont="1" applyFill="1" applyBorder="1" applyAlignment="1">
      <alignment horizontal="center"/>
    </xf>
    <xf numFmtId="165" fontId="8" fillId="0" borderId="38" xfId="0" applyNumberFormat="1" applyFont="1" applyFill="1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6"/>
  <sheetViews>
    <sheetView tabSelected="1" topLeftCell="A4" zoomScale="80" zoomScaleNormal="80" workbookViewId="0">
      <selection activeCell="N16" sqref="N16"/>
    </sheetView>
  </sheetViews>
  <sheetFormatPr defaultRowHeight="15" x14ac:dyDescent="0.25"/>
  <cols>
    <col min="1" max="5" width="20.7109375" customWidth="1"/>
    <col min="6" max="6" width="20.85546875" customWidth="1"/>
    <col min="7" max="11" width="20.7109375" customWidth="1"/>
    <col min="12" max="12" width="28.140625" customWidth="1"/>
    <col min="13" max="13" width="20.7109375" customWidth="1"/>
    <col min="14" max="14" width="16.85546875" customWidth="1"/>
    <col min="15" max="15" width="14.7109375" customWidth="1"/>
  </cols>
  <sheetData>
    <row r="1" spans="1:15" ht="20.25" x14ac:dyDescent="0.3">
      <c r="A1" s="45" t="s">
        <v>11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ht="20.25" x14ac:dyDescent="0.3">
      <c r="A2" s="46" t="s">
        <v>28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</row>
    <row r="3" spans="1:15" ht="20.25" x14ac:dyDescent="0.3">
      <c r="A3" s="47" t="s">
        <v>12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</row>
    <row r="4" spans="1:15" ht="15.75" x14ac:dyDescent="0.25">
      <c r="A4" s="108" t="s">
        <v>14</v>
      </c>
      <c r="B4" s="57" t="s">
        <v>29</v>
      </c>
      <c r="C4" s="58"/>
      <c r="D4" s="59"/>
      <c r="E4" s="62" t="s">
        <v>30</v>
      </c>
      <c r="F4" s="63"/>
      <c r="G4" s="64"/>
      <c r="H4" s="63" t="s">
        <v>8</v>
      </c>
      <c r="I4" s="63"/>
      <c r="J4" s="63"/>
      <c r="K4" s="63"/>
      <c r="L4" s="63"/>
      <c r="M4" s="63"/>
      <c r="N4" s="63"/>
      <c r="O4" s="63"/>
    </row>
    <row r="5" spans="1:15" ht="111" thickBot="1" x14ac:dyDescent="0.3">
      <c r="A5" s="109"/>
      <c r="B5" s="3" t="s">
        <v>3</v>
      </c>
      <c r="C5" s="4" t="s">
        <v>4</v>
      </c>
      <c r="D5" s="5" t="s">
        <v>7</v>
      </c>
      <c r="E5" s="3" t="s">
        <v>5</v>
      </c>
      <c r="F5" s="4" t="s">
        <v>6</v>
      </c>
      <c r="G5" s="5" t="s">
        <v>7</v>
      </c>
      <c r="H5" s="19" t="s">
        <v>9</v>
      </c>
      <c r="I5" s="20" t="s">
        <v>10</v>
      </c>
      <c r="J5" s="120" t="s">
        <v>34</v>
      </c>
      <c r="K5" s="120" t="s">
        <v>36</v>
      </c>
      <c r="L5" s="43" t="s">
        <v>33</v>
      </c>
      <c r="M5" s="43" t="s">
        <v>25</v>
      </c>
      <c r="N5" s="21" t="s">
        <v>7</v>
      </c>
    </row>
    <row r="6" spans="1:15" ht="15.75" x14ac:dyDescent="0.25">
      <c r="A6" s="7" t="s">
        <v>0</v>
      </c>
      <c r="B6" s="28">
        <v>13386790.699999999</v>
      </c>
      <c r="C6" s="29">
        <v>14827827.359999999</v>
      </c>
      <c r="D6" s="30">
        <f>SUM(B6:C6)</f>
        <v>28214618.059999999</v>
      </c>
      <c r="E6" s="28">
        <f>87945.57*1.2</f>
        <v>105534.68400000001</v>
      </c>
      <c r="F6" s="29">
        <f>107910.29*1.2</f>
        <v>129492.34799999998</v>
      </c>
      <c r="G6" s="30">
        <f>SUM(E6:F6)</f>
        <v>235027.03200000001</v>
      </c>
      <c r="H6" s="37">
        <f t="shared" ref="H6:I9" si="0">0.85*E6</f>
        <v>89704.481400000004</v>
      </c>
      <c r="I6" s="38">
        <f t="shared" si="0"/>
        <v>110068.49579999999</v>
      </c>
      <c r="J6" s="121">
        <v>8000</v>
      </c>
      <c r="K6" s="121">
        <v>10000</v>
      </c>
      <c r="L6" s="65">
        <v>76000</v>
      </c>
      <c r="M6" s="65">
        <v>64388</v>
      </c>
      <c r="N6" s="10">
        <f>H6+I6</f>
        <v>199772.97719999999</v>
      </c>
    </row>
    <row r="7" spans="1:15" ht="15.75" x14ac:dyDescent="0.25">
      <c r="A7" s="8" t="s">
        <v>1</v>
      </c>
      <c r="B7" s="31">
        <v>420117.5</v>
      </c>
      <c r="C7" s="32">
        <v>580135.1</v>
      </c>
      <c r="D7" s="33">
        <f t="shared" ref="D7:D8" si="1">SUM(B7:C7)</f>
        <v>1000252.6</v>
      </c>
      <c r="E7" s="31">
        <f>3542.3*1.5</f>
        <v>5313.4500000000007</v>
      </c>
      <c r="F7" s="32">
        <f>4246.51*1.5</f>
        <v>6369.7650000000003</v>
      </c>
      <c r="G7" s="30">
        <f t="shared" ref="G7" si="2">SUM(E7:F7)</f>
        <v>11683.215</v>
      </c>
      <c r="H7" s="37">
        <f t="shared" si="0"/>
        <v>4516.4325000000008</v>
      </c>
      <c r="I7" s="38">
        <f t="shared" si="0"/>
        <v>5414.3002500000002</v>
      </c>
      <c r="J7" s="122"/>
      <c r="K7" s="122"/>
      <c r="L7" s="66"/>
      <c r="M7" s="66"/>
      <c r="N7" s="11">
        <f>H7+I7</f>
        <v>9930.732750000001</v>
      </c>
    </row>
    <row r="8" spans="1:15" ht="16.5" thickBot="1" x14ac:dyDescent="0.3">
      <c r="A8" s="9" t="s">
        <v>2</v>
      </c>
      <c r="B8" s="34">
        <v>571529.80000000005</v>
      </c>
      <c r="C8" s="35">
        <v>195185.25</v>
      </c>
      <c r="D8" s="36">
        <f t="shared" si="1"/>
        <v>766715.05</v>
      </c>
      <c r="E8" s="34">
        <f>4943.6*1.5</f>
        <v>7415.4000000000005</v>
      </c>
      <c r="F8" s="35">
        <f>1536.35*1.5</f>
        <v>2304.5249999999996</v>
      </c>
      <c r="G8" s="30">
        <f>SUM(E8:F8)</f>
        <v>9719.9249999999993</v>
      </c>
      <c r="H8" s="39">
        <f t="shared" si="0"/>
        <v>6303.09</v>
      </c>
      <c r="I8" s="40">
        <f t="shared" si="0"/>
        <v>1958.8462499999996</v>
      </c>
      <c r="J8" s="122"/>
      <c r="K8" s="123"/>
      <c r="L8" s="66"/>
      <c r="M8" s="66"/>
      <c r="N8" s="12">
        <f>H8+I8</f>
        <v>8261.9362499999988</v>
      </c>
    </row>
    <row r="9" spans="1:15" ht="16.5" thickBot="1" x14ac:dyDescent="0.3">
      <c r="A9" s="6" t="s">
        <v>15</v>
      </c>
      <c r="B9" s="13">
        <f t="shared" ref="B9:F9" si="3">SUM(B6:B8)</f>
        <v>14378438</v>
      </c>
      <c r="C9" s="14">
        <f t="shared" si="3"/>
        <v>15603147.709999999</v>
      </c>
      <c r="D9" s="15">
        <f t="shared" si="3"/>
        <v>29981585.710000001</v>
      </c>
      <c r="E9" s="13">
        <f t="shared" si="3"/>
        <v>118263.534</v>
      </c>
      <c r="F9" s="14">
        <f t="shared" si="3"/>
        <v>138166.63799999998</v>
      </c>
      <c r="G9" s="15">
        <f>SUM(G6:G8)</f>
        <v>256430.17199999999</v>
      </c>
      <c r="H9" s="13">
        <f>0.85*E9</f>
        <v>100524.0039</v>
      </c>
      <c r="I9" s="41">
        <f t="shared" si="0"/>
        <v>117441.64229999998</v>
      </c>
      <c r="J9" s="13">
        <f>J6</f>
        <v>8000</v>
      </c>
      <c r="K9" s="44">
        <f>K6</f>
        <v>10000</v>
      </c>
      <c r="L9" s="14">
        <f>L6</f>
        <v>76000</v>
      </c>
      <c r="M9" s="14">
        <f>M6</f>
        <v>64388</v>
      </c>
      <c r="N9" s="15">
        <f>H9+I9+J9+K9+L9+M9</f>
        <v>376353.64619999996</v>
      </c>
      <c r="O9" s="27"/>
    </row>
    <row r="10" spans="1:15" x14ac:dyDescent="0.25">
      <c r="B10" s="1"/>
      <c r="C10" s="1"/>
      <c r="J10" s="27"/>
    </row>
    <row r="11" spans="1:15" ht="15.75" thickBot="1" x14ac:dyDescent="0.3"/>
    <row r="12" spans="1:15" ht="15.75" customHeight="1" x14ac:dyDescent="0.3">
      <c r="A12" s="54" t="s">
        <v>13</v>
      </c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6"/>
    </row>
    <row r="13" spans="1:15" ht="15.75" customHeight="1" x14ac:dyDescent="0.25">
      <c r="A13" s="60" t="s">
        <v>16</v>
      </c>
      <c r="B13" s="61"/>
      <c r="C13" s="61"/>
      <c r="D13" s="61"/>
      <c r="E13" s="61"/>
      <c r="F13" s="61"/>
      <c r="G13" s="99" t="s">
        <v>14</v>
      </c>
      <c r="H13" s="100"/>
      <c r="I13" s="100"/>
      <c r="J13" s="100"/>
      <c r="K13" s="101"/>
      <c r="L13" s="22" t="s">
        <v>15</v>
      </c>
    </row>
    <row r="14" spans="1:15" ht="15.75" customHeight="1" x14ac:dyDescent="0.25">
      <c r="A14" s="102"/>
      <c r="B14" s="103"/>
      <c r="C14" s="103"/>
      <c r="D14" s="103"/>
      <c r="E14" s="103"/>
      <c r="F14" s="104"/>
      <c r="G14" s="105" t="s">
        <v>22</v>
      </c>
      <c r="H14" s="106"/>
      <c r="I14" s="107"/>
      <c r="J14" s="18" t="s">
        <v>23</v>
      </c>
      <c r="K14" s="18" t="s">
        <v>24</v>
      </c>
      <c r="L14" s="22"/>
    </row>
    <row r="15" spans="1:15" ht="15.75" customHeight="1" x14ac:dyDescent="0.25">
      <c r="A15" s="67" t="s">
        <v>21</v>
      </c>
      <c r="B15" s="68"/>
      <c r="C15" s="68"/>
      <c r="D15" s="68"/>
      <c r="E15" s="68"/>
      <c r="F15" s="68"/>
      <c r="G15" s="69">
        <f>(6*50)+(8*320)+64</f>
        <v>2924</v>
      </c>
      <c r="H15" s="70"/>
      <c r="I15" s="71"/>
      <c r="J15" s="16">
        <f>SUM(2*50)+(1*320)</f>
        <v>420</v>
      </c>
      <c r="K15" s="16">
        <f>1*320</f>
        <v>320</v>
      </c>
      <c r="L15" s="23">
        <f>G15+J15+K15</f>
        <v>3664</v>
      </c>
    </row>
    <row r="16" spans="1:15" ht="49.5" customHeight="1" x14ac:dyDescent="0.25">
      <c r="A16" s="72" t="s">
        <v>17</v>
      </c>
      <c r="B16" s="73"/>
      <c r="C16" s="73"/>
      <c r="D16" s="73"/>
      <c r="E16" s="73"/>
      <c r="F16" s="74"/>
      <c r="G16" s="69">
        <f>L16*0.8</f>
        <v>135648.80000000002</v>
      </c>
      <c r="H16" s="70"/>
      <c r="I16" s="71"/>
      <c r="J16" s="16">
        <f>L16*0.1</f>
        <v>16956.100000000002</v>
      </c>
      <c r="K16" s="16">
        <f>L16*0.1</f>
        <v>16956.100000000002</v>
      </c>
      <c r="L16" s="23">
        <v>169561</v>
      </c>
      <c r="N16" s="42"/>
    </row>
    <row r="17" spans="1:13" ht="15.75" customHeight="1" x14ac:dyDescent="0.25">
      <c r="A17" s="75" t="s">
        <v>18</v>
      </c>
      <c r="B17" s="76"/>
      <c r="C17" s="76"/>
      <c r="D17" s="76"/>
      <c r="E17" s="76"/>
      <c r="F17" s="77"/>
      <c r="G17" s="84">
        <f>SUM(G22:I27)</f>
        <v>147169.1</v>
      </c>
      <c r="H17" s="85"/>
      <c r="I17" s="86"/>
      <c r="J17" s="51">
        <f>SUM(J22:J27)</f>
        <v>23980</v>
      </c>
      <c r="K17" s="51">
        <f>SUM(K22:K27)</f>
        <v>23980</v>
      </c>
      <c r="L17" s="51">
        <f>ROUND(G17+J17+K17,0)</f>
        <v>195129</v>
      </c>
    </row>
    <row r="18" spans="1:13" ht="15.75" customHeight="1" x14ac:dyDescent="0.25">
      <c r="A18" s="78"/>
      <c r="B18" s="79"/>
      <c r="C18" s="79"/>
      <c r="D18" s="79"/>
      <c r="E18" s="79"/>
      <c r="F18" s="80"/>
      <c r="G18" s="87"/>
      <c r="H18" s="88"/>
      <c r="I18" s="89"/>
      <c r="J18" s="52"/>
      <c r="K18" s="52"/>
      <c r="L18" s="52"/>
    </row>
    <row r="19" spans="1:13" ht="32.25" customHeight="1" x14ac:dyDescent="0.25">
      <c r="A19" s="78"/>
      <c r="B19" s="79"/>
      <c r="C19" s="79"/>
      <c r="D19" s="79"/>
      <c r="E19" s="79"/>
      <c r="F19" s="80"/>
      <c r="G19" s="87"/>
      <c r="H19" s="88"/>
      <c r="I19" s="89"/>
      <c r="J19" s="52"/>
      <c r="K19" s="52"/>
      <c r="L19" s="52"/>
    </row>
    <row r="20" spans="1:13" ht="15.75" customHeight="1" x14ac:dyDescent="0.25">
      <c r="A20" s="78"/>
      <c r="B20" s="79"/>
      <c r="C20" s="79"/>
      <c r="D20" s="79"/>
      <c r="E20" s="79"/>
      <c r="F20" s="80"/>
      <c r="G20" s="87"/>
      <c r="H20" s="88"/>
      <c r="I20" s="89"/>
      <c r="J20" s="52"/>
      <c r="K20" s="52"/>
      <c r="L20" s="52"/>
    </row>
    <row r="21" spans="1:13" ht="15.75" customHeight="1" x14ac:dyDescent="0.25">
      <c r="A21" s="81"/>
      <c r="B21" s="82"/>
      <c r="C21" s="82"/>
      <c r="D21" s="82"/>
      <c r="E21" s="82"/>
      <c r="F21" s="83"/>
      <c r="G21" s="90"/>
      <c r="H21" s="91"/>
      <c r="I21" s="92"/>
      <c r="J21" s="53"/>
      <c r="K21" s="53"/>
      <c r="L21" s="53"/>
    </row>
    <row r="22" spans="1:13" ht="15.75" customHeight="1" x14ac:dyDescent="0.25">
      <c r="A22" s="93" t="s">
        <v>19</v>
      </c>
      <c r="B22" s="94"/>
      <c r="C22" s="94"/>
      <c r="D22" s="94"/>
      <c r="E22" s="94"/>
      <c r="F22" s="95"/>
      <c r="G22" s="48">
        <f>3.11*560</f>
        <v>1741.6</v>
      </c>
      <c r="H22" s="49"/>
      <c r="I22" s="50"/>
      <c r="J22" s="17">
        <f>SUM(3.11*100)</f>
        <v>311</v>
      </c>
      <c r="K22" s="17">
        <f>SUM(3.11*100)</f>
        <v>311</v>
      </c>
      <c r="L22" s="24">
        <f>ROUND(G22+J22+K22,0)</f>
        <v>2364</v>
      </c>
    </row>
    <row r="23" spans="1:13" ht="15.75" customHeight="1" x14ac:dyDescent="0.25">
      <c r="A23" s="93" t="s">
        <v>20</v>
      </c>
      <c r="B23" s="94"/>
      <c r="C23" s="94"/>
      <c r="D23" s="94"/>
      <c r="E23" s="94"/>
      <c r="F23" s="95"/>
      <c r="G23" s="48">
        <f>95*560</f>
        <v>53200</v>
      </c>
      <c r="H23" s="49"/>
      <c r="I23" s="50"/>
      <c r="J23" s="17">
        <f>SUM(95*100)</f>
        <v>9500</v>
      </c>
      <c r="K23" s="17">
        <f>SUM(95*100)</f>
        <v>9500</v>
      </c>
      <c r="L23" s="24">
        <f t="shared" ref="L23:L28" si="4">G23+J23+K23</f>
        <v>72200</v>
      </c>
    </row>
    <row r="24" spans="1:13" ht="15.75" customHeight="1" x14ac:dyDescent="0.25">
      <c r="A24" s="93" t="s">
        <v>31</v>
      </c>
      <c r="B24" s="94"/>
      <c r="C24" s="94"/>
      <c r="D24" s="94"/>
      <c r="E24" s="94"/>
      <c r="F24" s="95"/>
      <c r="G24" s="48">
        <f>560*36</f>
        <v>20160</v>
      </c>
      <c r="H24" s="49"/>
      <c r="I24" s="50"/>
      <c r="J24" s="17">
        <f>SUM(100*36)</f>
        <v>3600</v>
      </c>
      <c r="K24" s="17">
        <f>SUM(36*100)</f>
        <v>3600</v>
      </c>
      <c r="L24" s="24">
        <f t="shared" si="4"/>
        <v>27360</v>
      </c>
    </row>
    <row r="25" spans="1:13" ht="15.75" customHeight="1" x14ac:dyDescent="0.25">
      <c r="A25" s="93" t="s">
        <v>32</v>
      </c>
      <c r="B25" s="94"/>
      <c r="C25" s="94"/>
      <c r="D25" s="94"/>
      <c r="E25" s="94"/>
      <c r="F25" s="95"/>
      <c r="G25" s="48">
        <f>750*89.69</f>
        <v>67267.5</v>
      </c>
      <c r="H25" s="49"/>
      <c r="I25" s="50"/>
      <c r="J25" s="17">
        <f>SUM(100*89.69)</f>
        <v>8969</v>
      </c>
      <c r="K25" s="17">
        <f>SUM(100*89.69)</f>
        <v>8969</v>
      </c>
      <c r="L25" s="24">
        <f>G25+J25+K25</f>
        <v>85205.5</v>
      </c>
    </row>
    <row r="26" spans="1:13" ht="15.75" customHeight="1" x14ac:dyDescent="0.25">
      <c r="A26" s="116" t="s">
        <v>37</v>
      </c>
      <c r="B26" s="117"/>
      <c r="C26" s="117"/>
      <c r="D26" s="117"/>
      <c r="E26" s="117"/>
      <c r="F26" s="118"/>
      <c r="G26" s="48">
        <f>15*320</f>
        <v>4800</v>
      </c>
      <c r="H26" s="49"/>
      <c r="I26" s="50"/>
      <c r="J26" s="17">
        <f>5*320</f>
        <v>1600</v>
      </c>
      <c r="K26" s="17">
        <f>5*320</f>
        <v>1600</v>
      </c>
      <c r="L26" s="24">
        <f>G26+J26+K26</f>
        <v>8000</v>
      </c>
    </row>
    <row r="27" spans="1:13" ht="15.75" customHeight="1" x14ac:dyDescent="0.25">
      <c r="A27" s="96" t="s">
        <v>27</v>
      </c>
      <c r="B27" s="97"/>
      <c r="C27" s="97"/>
      <c r="D27" s="97"/>
      <c r="E27" s="97"/>
      <c r="F27" s="98"/>
      <c r="G27" s="48">
        <v>0</v>
      </c>
      <c r="H27" s="49"/>
      <c r="I27" s="50"/>
      <c r="J27" s="17"/>
      <c r="K27" s="17"/>
      <c r="L27" s="24">
        <f>G27</f>
        <v>0</v>
      </c>
    </row>
    <row r="28" spans="1:13" ht="77.25" customHeight="1" x14ac:dyDescent="0.25">
      <c r="A28" s="75" t="s">
        <v>26</v>
      </c>
      <c r="B28" s="76"/>
      <c r="C28" s="76"/>
      <c r="D28" s="76"/>
      <c r="E28" s="76"/>
      <c r="F28" s="77"/>
      <c r="G28" s="69">
        <v>4000</v>
      </c>
      <c r="H28" s="70"/>
      <c r="I28" s="71"/>
      <c r="J28" s="16">
        <v>1950</v>
      </c>
      <c r="K28" s="16">
        <v>2050</v>
      </c>
      <c r="L28" s="23">
        <f t="shared" si="4"/>
        <v>8000</v>
      </c>
      <c r="M28" s="42"/>
    </row>
    <row r="29" spans="1:13" ht="15.75" customHeight="1" thickBot="1" x14ac:dyDescent="0.35">
      <c r="A29" s="110" t="s">
        <v>15</v>
      </c>
      <c r="B29" s="111"/>
      <c r="C29" s="111"/>
      <c r="D29" s="111"/>
      <c r="E29" s="111"/>
      <c r="F29" s="112"/>
      <c r="G29" s="113">
        <f>G15+G16+G17+G28</f>
        <v>289741.90000000002</v>
      </c>
      <c r="H29" s="114"/>
      <c r="I29" s="115"/>
      <c r="J29" s="25">
        <f>J15+J16+J17+J28</f>
        <v>43306.100000000006</v>
      </c>
      <c r="K29" s="25">
        <f>K15+K16+K17+K28</f>
        <v>43306.100000000006</v>
      </c>
      <c r="L29" s="26">
        <f>L15+L16+L17+L28</f>
        <v>376354</v>
      </c>
    </row>
    <row r="31" spans="1:13" ht="19.5" x14ac:dyDescent="0.35">
      <c r="A31" s="119" t="s">
        <v>35</v>
      </c>
      <c r="B31" s="119"/>
      <c r="C31" s="119"/>
      <c r="D31" s="119"/>
      <c r="E31" s="119"/>
      <c r="F31" s="119"/>
      <c r="G31" s="119"/>
      <c r="H31" s="119"/>
      <c r="I31" s="119"/>
      <c r="J31" s="119"/>
      <c r="K31" s="119"/>
      <c r="L31" s="119"/>
    </row>
    <row r="68" spans="1:7" ht="15" customHeight="1" x14ac:dyDescent="0.25">
      <c r="A68" s="2"/>
      <c r="B68" s="2"/>
      <c r="C68" s="2"/>
      <c r="D68" s="2"/>
      <c r="E68" s="2"/>
      <c r="F68" s="2"/>
    </row>
    <row r="69" spans="1:7" ht="15" customHeight="1" x14ac:dyDescent="0.25">
      <c r="A69" s="2"/>
      <c r="B69" s="2"/>
      <c r="C69" s="2"/>
      <c r="D69" s="2"/>
      <c r="E69" s="2"/>
      <c r="F69" s="2"/>
    </row>
    <row r="70" spans="1:7" ht="15" customHeight="1" x14ac:dyDescent="0.25">
      <c r="B70" s="2"/>
      <c r="C70" s="2"/>
      <c r="D70" s="2"/>
      <c r="E70" s="2"/>
      <c r="F70" s="2"/>
    </row>
    <row r="74" spans="1:7" ht="15.75" x14ac:dyDescent="0.25">
      <c r="G74" s="2"/>
    </row>
    <row r="75" spans="1:7" ht="15.75" x14ac:dyDescent="0.25">
      <c r="G75" s="2"/>
    </row>
    <row r="76" spans="1:7" ht="15.75" x14ac:dyDescent="0.25">
      <c r="G76" s="2"/>
    </row>
  </sheetData>
  <mergeCells count="42">
    <mergeCell ref="A31:L31"/>
    <mergeCell ref="A29:F29"/>
    <mergeCell ref="A28:F28"/>
    <mergeCell ref="G29:I29"/>
    <mergeCell ref="G28:I28"/>
    <mergeCell ref="J6:J8"/>
    <mergeCell ref="H4:O4"/>
    <mergeCell ref="G13:K13"/>
    <mergeCell ref="A14:F14"/>
    <mergeCell ref="G14:I14"/>
    <mergeCell ref="K6:K8"/>
    <mergeCell ref="A4:A5"/>
    <mergeCell ref="M6:M8"/>
    <mergeCell ref="A26:F26"/>
    <mergeCell ref="A27:F27"/>
    <mergeCell ref="G27:I27"/>
    <mergeCell ref="G22:I22"/>
    <mergeCell ref="A25:F25"/>
    <mergeCell ref="G25:I25"/>
    <mergeCell ref="G24:I24"/>
    <mergeCell ref="G16:I16"/>
    <mergeCell ref="G17:I21"/>
    <mergeCell ref="A24:F24"/>
    <mergeCell ref="A23:F23"/>
    <mergeCell ref="A22:F22"/>
    <mergeCell ref="G23:I23"/>
    <mergeCell ref="A1:O1"/>
    <mergeCell ref="A2:O2"/>
    <mergeCell ref="A3:O3"/>
    <mergeCell ref="G26:I26"/>
    <mergeCell ref="L17:L21"/>
    <mergeCell ref="K17:K21"/>
    <mergeCell ref="J17:J21"/>
    <mergeCell ref="A12:L12"/>
    <mergeCell ref="B4:D4"/>
    <mergeCell ref="A13:F13"/>
    <mergeCell ref="E4:G4"/>
    <mergeCell ref="L6:L8"/>
    <mergeCell ref="A15:F15"/>
    <mergeCell ref="G15:I15"/>
    <mergeCell ref="A16:F16"/>
    <mergeCell ref="A17:F21"/>
  </mergeCells>
  <pageMargins left="0.70866141732283472" right="0.70866141732283472" top="0.74803149606299213" bottom="0.74803149606299213" header="0.31496062992125984" footer="0.31496062992125984"/>
  <pageSetup paperSize="9" scale="4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32" sqref="C32"/>
    </sheetView>
  </sheetViews>
  <sheetFormatPr defaultRowHeight="15" x14ac:dyDescent="0.25"/>
  <cols>
    <col min="5" max="5" width="11" bestFit="1" customWidth="1"/>
    <col min="6" max="6" width="10" bestFit="1" customWidth="1"/>
    <col min="10" max="10" width="10" bestFit="1" customWidth="1"/>
    <col min="11" max="11" width="11" bestFit="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L8" sqref="L8"/>
    </sheetView>
  </sheetViews>
  <sheetFormatPr defaultRowHeight="15" x14ac:dyDescent="0.25"/>
  <cols>
    <col min="4" max="4" width="10" bestFit="1" customWidth="1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K20" sqref="K20"/>
    </sheetView>
  </sheetViews>
  <sheetFormatPr defaultRowHeight="15" x14ac:dyDescent="0.25"/>
  <cols>
    <col min="13" max="13" width="14.85546875" customWidth="1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M7" sqref="M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Scetovodstvo</dc:creator>
  <cp:lastModifiedBy>Исмаил</cp:lastModifiedBy>
  <cp:lastPrinted>2023-11-28T14:08:03Z</cp:lastPrinted>
  <dcterms:created xsi:type="dcterms:W3CDTF">2015-12-12T07:05:07Z</dcterms:created>
  <dcterms:modified xsi:type="dcterms:W3CDTF">2023-11-30T12:11:49Z</dcterms:modified>
</cp:coreProperties>
</file>