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колог\2024 ГОДИНА\Отпадъци\Разработване План Сметка\"/>
    </mc:Choice>
  </mc:AlternateContent>
  <xr:revisionPtr revIDLastSave="0" documentId="8_{02B063D9-DDA8-4AF1-A9DC-BC674A0297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K24" i="1" l="1"/>
  <c r="J24" i="1"/>
  <c r="G24" i="1"/>
  <c r="K23" i="1"/>
  <c r="J23" i="1"/>
  <c r="G23" i="1"/>
  <c r="K22" i="1"/>
  <c r="J22" i="1"/>
  <c r="G22" i="1"/>
  <c r="I8" i="1"/>
  <c r="I7" i="1"/>
  <c r="I6" i="1"/>
  <c r="H8" i="1"/>
  <c r="H7" i="1"/>
  <c r="H6" i="1"/>
  <c r="K26" i="1"/>
  <c r="J26" i="1"/>
  <c r="G26" i="1"/>
  <c r="J15" i="1"/>
  <c r="G15" i="1"/>
  <c r="K9" i="1" l="1"/>
  <c r="K25" i="1"/>
  <c r="K15" i="1"/>
  <c r="L26" i="1" l="1"/>
  <c r="J25" i="1"/>
  <c r="L25" i="1" s="1"/>
  <c r="G8" i="1" l="1"/>
  <c r="M9" i="1" l="1"/>
  <c r="K17" i="1" l="1"/>
  <c r="L22" i="1" l="1"/>
  <c r="G17" i="1"/>
  <c r="J17" i="1"/>
  <c r="J9" i="1"/>
  <c r="L9" i="1"/>
  <c r="L17" i="1" l="1"/>
  <c r="K16" i="1"/>
  <c r="N6" i="1" l="1"/>
  <c r="J16" i="1"/>
  <c r="G16" i="1"/>
  <c r="L23" i="1" l="1"/>
  <c r="L24" i="1"/>
  <c r="K28" i="1"/>
  <c r="L15" i="1"/>
  <c r="G7" i="1"/>
  <c r="G6" i="1"/>
  <c r="D7" i="1"/>
  <c r="D8" i="1"/>
  <c r="D6" i="1"/>
  <c r="G9" i="1" l="1"/>
  <c r="J28" i="1"/>
  <c r="C9" i="1"/>
  <c r="G28" i="1" l="1"/>
  <c r="L27" i="1" l="1"/>
  <c r="L28" i="1" s="1"/>
  <c r="N8" i="1"/>
  <c r="N7" i="1"/>
  <c r="F9" i="1"/>
  <c r="I9" i="1" s="1"/>
  <c r="D9" i="1"/>
  <c r="E9" i="1"/>
  <c r="H9" i="1" s="1"/>
  <c r="B9" i="1"/>
  <c r="N9" i="1" l="1"/>
</calcChain>
</file>

<file path=xl/sharedStrings.xml><?xml version="1.0" encoding="utf-8"?>
<sst xmlns="http://schemas.openxmlformats.org/spreadsheetml/2006/main" count="52" uniqueCount="46">
  <si>
    <t xml:space="preserve">Сърница </t>
  </si>
  <si>
    <t>Побит камък</t>
  </si>
  <si>
    <t>Медени поляни</t>
  </si>
  <si>
    <t>ФЛ</t>
  </si>
  <si>
    <t>ЮЛ</t>
  </si>
  <si>
    <t xml:space="preserve">ФЛ </t>
  </si>
  <si>
    <t xml:space="preserve">ЮЛ </t>
  </si>
  <si>
    <t>ОБЩО</t>
  </si>
  <si>
    <t>Приходи</t>
  </si>
  <si>
    <t>ТБО ФЛ</t>
  </si>
  <si>
    <t>ТБО ЮЛ</t>
  </si>
  <si>
    <t>Приложение №1</t>
  </si>
  <si>
    <t>I. Приходи</t>
  </si>
  <si>
    <t>II. Разходи</t>
  </si>
  <si>
    <t>Населено място</t>
  </si>
  <si>
    <t>Общо</t>
  </si>
  <si>
    <t>Наименование</t>
  </si>
  <si>
    <t xml:space="preserve">2. Събиране, включително разделно, на битовите отпадъци и транспортирането им до депата или други инсталации и съоръжения за третирането им
</t>
  </si>
  <si>
    <t xml:space="preserve">3. 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включително отчисленията по чл. 60 и 64 от Закона за управление на отпадъците
</t>
  </si>
  <si>
    <t>1. Осигуряване на съдове за съхраняване на битовите отпадъци - контейнери, кофи и други</t>
  </si>
  <si>
    <t xml:space="preserve">гр.  Сърница </t>
  </si>
  <si>
    <t>с. Побит камък</t>
  </si>
  <si>
    <t>с. Медени поляни</t>
  </si>
  <si>
    <t>Дофинансиране от други общински приходи</t>
  </si>
  <si>
    <t xml:space="preserve">4. Поддържане на чистотата на уличните платна, площадите, алеите, парковите и другите територии от населените места и селищните образувания в общината, предназначени за обществено ползване
</t>
  </si>
  <si>
    <t xml:space="preserve">     3.3. Разходи за депониране на БО</t>
  </si>
  <si>
    <t xml:space="preserve">     3.4 Разходи за компостираща инсталация</t>
  </si>
  <si>
    <t>Приходи от прождаби на фракции от предварително третиране на битови отпадъци</t>
  </si>
  <si>
    <t xml:space="preserve">     3.4. Разходи за съдеве за разделно събиране на битови отпадъци</t>
  </si>
  <si>
    <t>Преходен остатък от такса битови отпадъци 2024 г.</t>
  </si>
  <si>
    <t>Данъчни основи за 2025 г.</t>
  </si>
  <si>
    <t>Прогнозен облог за 2025 г.</t>
  </si>
  <si>
    <t>План сметка на община Сърница за 2025 година</t>
  </si>
  <si>
    <t xml:space="preserve">     3.1.  Отчисления по чл. 60 от ЗУО -  § 3. ПРЗ за ЗИД на Закона за местни данъци и такси ОБН. - ДВ, БР. 81 ОТ 2024 Г., В СИЛА ОТ 24.09.2024 Г.</t>
  </si>
  <si>
    <t xml:space="preserve">     3.2.  Отчисления от чл.64 от ЗУО -  § 3. ПРЗ за ЗИД на Закона за местни данъци и такси ОБН. - ДВ, БР. 81 ОТ 2024 Г., В СИЛА ОТ 24.09.2024 Г.</t>
  </si>
  <si>
    <t>Възстановени средства през 2025 година по чл.60, ал.2, т.1 и чл. 64, ал.1 от Закона за управление на отпадъците</t>
  </si>
  <si>
    <t>Изготвил:</t>
  </si>
  <si>
    <t xml:space="preserve">Кмет: </t>
  </si>
  <si>
    <t>Исмаил Църенски</t>
  </si>
  <si>
    <t>Неби Бозов</t>
  </si>
  <si>
    <t>Гл. счетоводител</t>
  </si>
  <si>
    <t>Съгласувал:</t>
  </si>
  <si>
    <t>Аки Кисьов</t>
  </si>
  <si>
    <t>Аки Молаахмед</t>
  </si>
  <si>
    <t>Ст. специалист "МДТ"</t>
  </si>
  <si>
    <t>Гл. спеиалист "ЗГЕ"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</si>
</sst>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л_в_._-;\-* #,##0.00\ _л_в_._-;_-* &quot;-&quot;??\ _л_в_._-;_-@_-"/>
    <numFmt numFmtId="165" formatCode="_-* #,##0\ _л_в_._-;\-* #,##0\ _л_в_._-;_-* &quot;-&quot;??\ _л_в_._-;_-@_-"/>
    <numFmt numFmtId="166" formatCode="#,##0.00_ ;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4" fillId="2" borderId="22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4" fillId="2" borderId="16" xfId="0" applyFont="1" applyFill="1" applyBorder="1"/>
    <xf numFmtId="0" fontId="4" fillId="2" borderId="29" xfId="0" applyFont="1" applyFill="1" applyBorder="1"/>
    <xf numFmtId="0" fontId="4" fillId="2" borderId="30" xfId="0" applyFont="1" applyFill="1" applyBorder="1"/>
    <xf numFmtId="0" fontId="4" fillId="2" borderId="31" xfId="0" applyFont="1" applyFill="1" applyBorder="1"/>
    <xf numFmtId="165" fontId="5" fillId="2" borderId="26" xfId="0" applyNumberFormat="1" applyFont="1" applyFill="1" applyBorder="1"/>
    <xf numFmtId="165" fontId="5" fillId="2" borderId="21" xfId="0" applyNumberFormat="1" applyFont="1" applyFill="1" applyBorder="1"/>
    <xf numFmtId="165" fontId="5" fillId="2" borderId="32" xfId="0" applyNumberFormat="1" applyFont="1" applyFill="1" applyBorder="1"/>
    <xf numFmtId="165" fontId="4" fillId="2" borderId="36" xfId="0" applyNumberFormat="1" applyFont="1" applyFill="1" applyBorder="1"/>
    <xf numFmtId="165" fontId="4" fillId="2" borderId="33" xfId="0" applyNumberFormat="1" applyFont="1" applyFill="1" applyBorder="1"/>
    <xf numFmtId="165" fontId="4" fillId="2" borderId="34" xfId="0" applyNumberFormat="1" applyFont="1" applyFill="1" applyBorder="1"/>
    <xf numFmtId="164" fontId="4" fillId="0" borderId="14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41" xfId="0" applyFont="1" applyFill="1" applyBorder="1"/>
    <xf numFmtId="0" fontId="4" fillId="2" borderId="38" xfId="0" applyFont="1" applyFill="1" applyBorder="1"/>
    <xf numFmtId="0" fontId="4" fillId="2" borderId="42" xfId="0" applyFont="1" applyFill="1" applyBorder="1"/>
    <xf numFmtId="0" fontId="4" fillId="0" borderId="21" xfId="0" applyFont="1" applyBorder="1"/>
    <xf numFmtId="164" fontId="4" fillId="0" borderId="21" xfId="0" applyNumberFormat="1" applyFont="1" applyBorder="1"/>
    <xf numFmtId="164" fontId="5" fillId="0" borderId="21" xfId="0" applyNumberFormat="1" applyFont="1" applyBorder="1"/>
    <xf numFmtId="164" fontId="3" fillId="0" borderId="27" xfId="0" applyNumberFormat="1" applyFont="1" applyBorder="1" applyAlignment="1">
      <alignment horizontal="center"/>
    </xf>
    <xf numFmtId="164" fontId="3" fillId="0" borderId="24" xfId="0" applyNumberFormat="1" applyFont="1" applyBorder="1"/>
    <xf numFmtId="165" fontId="0" fillId="0" borderId="0" xfId="0" applyNumberFormat="1"/>
    <xf numFmtId="166" fontId="5" fillId="2" borderId="25" xfId="0" applyNumberFormat="1" applyFont="1" applyFill="1" applyBorder="1"/>
    <xf numFmtId="166" fontId="5" fillId="2" borderId="5" xfId="0" applyNumberFormat="1" applyFont="1" applyFill="1" applyBorder="1"/>
    <xf numFmtId="166" fontId="5" fillId="2" borderId="26" xfId="0" applyNumberFormat="1" applyFont="1" applyFill="1" applyBorder="1"/>
    <xf numFmtId="166" fontId="5" fillId="2" borderId="20" xfId="0" applyNumberFormat="1" applyFont="1" applyFill="1" applyBorder="1"/>
    <xf numFmtId="166" fontId="5" fillId="2" borderId="1" xfId="0" applyNumberFormat="1" applyFont="1" applyFill="1" applyBorder="1"/>
    <xf numFmtId="166" fontId="5" fillId="2" borderId="21" xfId="0" applyNumberFormat="1" applyFont="1" applyFill="1" applyBorder="1"/>
    <xf numFmtId="166" fontId="5" fillId="2" borderId="35" xfId="0" applyNumberFormat="1" applyFont="1" applyFill="1" applyBorder="1"/>
    <xf numFmtId="166" fontId="5" fillId="2" borderId="4" xfId="0" applyNumberFormat="1" applyFont="1" applyFill="1" applyBorder="1"/>
    <xf numFmtId="166" fontId="5" fillId="2" borderId="32" xfId="0" applyNumberFormat="1" applyFont="1" applyFill="1" applyBorder="1"/>
    <xf numFmtId="165" fontId="8" fillId="2" borderId="12" xfId="0" applyNumberFormat="1" applyFont="1" applyFill="1" applyBorder="1"/>
    <xf numFmtId="165" fontId="8" fillId="2" borderId="5" xfId="0" applyNumberFormat="1" applyFont="1" applyFill="1" applyBorder="1"/>
    <xf numFmtId="165" fontId="8" fillId="2" borderId="10" xfId="0" applyNumberFormat="1" applyFont="1" applyFill="1" applyBorder="1"/>
    <xf numFmtId="165" fontId="8" fillId="2" borderId="6" xfId="0" applyNumberFormat="1" applyFont="1" applyFill="1" applyBorder="1"/>
    <xf numFmtId="165" fontId="4" fillId="2" borderId="49" xfId="0" applyNumberFormat="1" applyFont="1" applyFill="1" applyBorder="1"/>
    <xf numFmtId="164" fontId="0" fillId="0" borderId="0" xfId="0" applyNumberFormat="1"/>
    <xf numFmtId="0" fontId="4" fillId="0" borderId="38" xfId="0" applyFont="1" applyBorder="1" applyAlignment="1">
      <alignment horizontal="center" wrapText="1"/>
    </xf>
    <xf numFmtId="165" fontId="4" fillId="2" borderId="50" xfId="0" applyNumberFormat="1" applyFont="1" applyFill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4" fillId="0" borderId="4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64" fontId="3" fillId="0" borderId="39" xfId="0" applyNumberFormat="1" applyFont="1" applyBorder="1" applyAlignment="1">
      <alignment horizontal="center"/>
    </xf>
    <xf numFmtId="164" fontId="3" fillId="0" borderId="40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5" fontId="8" fillId="0" borderId="37" xfId="0" applyNumberFormat="1" applyFont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5" fontId="8" fillId="0" borderId="38" xfId="0" applyNumberFormat="1" applyFont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5" fillId="0" borderId="4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164" fontId="5" fillId="0" borderId="1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5" fillId="0" borderId="43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43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4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46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zoomScale="80" zoomScaleNormal="80" workbookViewId="0">
      <selection activeCell="K9" sqref="K9"/>
    </sheetView>
  </sheetViews>
  <sheetFormatPr defaultRowHeight="15" x14ac:dyDescent="0.25"/>
  <cols>
    <col min="1" max="1" width="25.42578125" customWidth="1"/>
    <col min="2" max="5" width="20.7109375" customWidth="1"/>
    <col min="6" max="6" width="20.85546875" customWidth="1"/>
    <col min="7" max="11" width="20.7109375" customWidth="1"/>
    <col min="12" max="12" width="28.140625" customWidth="1"/>
    <col min="13" max="13" width="20.7109375" customWidth="1"/>
    <col min="14" max="14" width="16.85546875" customWidth="1"/>
    <col min="15" max="15" width="14.7109375" customWidth="1"/>
  </cols>
  <sheetData>
    <row r="1" spans="1:15" ht="20.25" x14ac:dyDescent="0.3">
      <c r="A1" s="92" t="s">
        <v>11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20.25" x14ac:dyDescent="0.3">
      <c r="A2" s="93" t="s">
        <v>32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5" ht="20.25" x14ac:dyDescent="0.3">
      <c r="A3" s="94" t="s">
        <v>12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ht="15.75" x14ac:dyDescent="0.25">
      <c r="A4" s="72" t="s">
        <v>14</v>
      </c>
      <c r="B4" s="101" t="s">
        <v>30</v>
      </c>
      <c r="C4" s="102"/>
      <c r="D4" s="103"/>
      <c r="E4" s="106" t="s">
        <v>31</v>
      </c>
      <c r="F4" s="61"/>
      <c r="G4" s="107"/>
      <c r="H4" s="61" t="s">
        <v>8</v>
      </c>
      <c r="I4" s="61"/>
      <c r="J4" s="61"/>
      <c r="K4" s="61"/>
      <c r="L4" s="61"/>
      <c r="M4" s="61"/>
      <c r="N4" s="61"/>
      <c r="O4" s="61"/>
    </row>
    <row r="5" spans="1:15" ht="111" thickBot="1" x14ac:dyDescent="0.3">
      <c r="A5" s="73"/>
      <c r="B5" s="3" t="s">
        <v>3</v>
      </c>
      <c r="C5" s="4" t="s">
        <v>4</v>
      </c>
      <c r="D5" s="5" t="s">
        <v>7</v>
      </c>
      <c r="E5" s="3" t="s">
        <v>5</v>
      </c>
      <c r="F5" s="4" t="s">
        <v>6</v>
      </c>
      <c r="G5" s="5" t="s">
        <v>7</v>
      </c>
      <c r="H5" s="19" t="s">
        <v>9</v>
      </c>
      <c r="I5" s="20" t="s">
        <v>10</v>
      </c>
      <c r="J5" s="43" t="s">
        <v>35</v>
      </c>
      <c r="K5" s="43" t="s">
        <v>27</v>
      </c>
      <c r="L5" s="43" t="s">
        <v>29</v>
      </c>
      <c r="M5" s="43" t="s">
        <v>23</v>
      </c>
      <c r="N5" s="21" t="s">
        <v>7</v>
      </c>
    </row>
    <row r="6" spans="1:15" ht="15.75" x14ac:dyDescent="0.25">
      <c r="A6" s="7" t="s">
        <v>0</v>
      </c>
      <c r="B6" s="28">
        <v>13652331.300000001</v>
      </c>
      <c r="C6" s="29">
        <v>19549121.449999999</v>
      </c>
      <c r="D6" s="30">
        <f>SUM(B6:C6)</f>
        <v>33201452.75</v>
      </c>
      <c r="E6" s="28">
        <v>107744.17</v>
      </c>
      <c r="F6" s="29">
        <v>163671.22</v>
      </c>
      <c r="G6" s="30">
        <f>SUM(E6:F6)</f>
        <v>271415.39</v>
      </c>
      <c r="H6" s="37">
        <f t="shared" ref="H6:I9" si="0">0.88*E6</f>
        <v>94814.869600000005</v>
      </c>
      <c r="I6" s="38">
        <f t="shared" si="0"/>
        <v>144030.67360000001</v>
      </c>
      <c r="J6" s="59"/>
      <c r="K6" s="59">
        <v>5334</v>
      </c>
      <c r="L6" s="59">
        <v>94000</v>
      </c>
      <c r="M6" s="59"/>
      <c r="N6" s="10">
        <f>H6+I6</f>
        <v>238845.54320000001</v>
      </c>
    </row>
    <row r="7" spans="1:15" ht="15.75" x14ac:dyDescent="0.25">
      <c r="A7" s="8" t="s">
        <v>1</v>
      </c>
      <c r="B7" s="31">
        <v>434506.8</v>
      </c>
      <c r="C7" s="32">
        <v>577640</v>
      </c>
      <c r="D7" s="33">
        <f t="shared" ref="D7:D8" si="1">SUM(B7:C7)</f>
        <v>1012146.8</v>
      </c>
      <c r="E7" s="31">
        <v>5558.81</v>
      </c>
      <c r="F7" s="32">
        <v>6363.98</v>
      </c>
      <c r="G7" s="30">
        <f t="shared" ref="G7" si="2">SUM(E7:F7)</f>
        <v>11922.79</v>
      </c>
      <c r="H7" s="37">
        <f t="shared" si="0"/>
        <v>4891.7528000000002</v>
      </c>
      <c r="I7" s="38">
        <f t="shared" si="0"/>
        <v>5600.3023999999996</v>
      </c>
      <c r="J7" s="60"/>
      <c r="K7" s="60"/>
      <c r="L7" s="60"/>
      <c r="M7" s="60"/>
      <c r="N7" s="11">
        <f>H7+I7</f>
        <v>10492.055199999999</v>
      </c>
    </row>
    <row r="8" spans="1:15" ht="16.5" thickBot="1" x14ac:dyDescent="0.3">
      <c r="A8" s="9" t="s">
        <v>2</v>
      </c>
      <c r="B8" s="34">
        <v>568051.1</v>
      </c>
      <c r="C8" s="35">
        <v>195084.05</v>
      </c>
      <c r="D8" s="36">
        <f t="shared" si="1"/>
        <v>763135.14999999991</v>
      </c>
      <c r="E8" s="34">
        <v>7365.31</v>
      </c>
      <c r="F8" s="35">
        <v>2303.62</v>
      </c>
      <c r="G8" s="30">
        <f>SUM(E8:F8)</f>
        <v>9668.93</v>
      </c>
      <c r="H8" s="39">
        <f t="shared" si="0"/>
        <v>6481.4728000000005</v>
      </c>
      <c r="I8" s="40">
        <f t="shared" si="0"/>
        <v>2027.1856</v>
      </c>
      <c r="J8" s="60"/>
      <c r="K8" s="71"/>
      <c r="L8" s="60"/>
      <c r="M8" s="60"/>
      <c r="N8" s="12">
        <f>H8+I8</f>
        <v>8508.6584000000003</v>
      </c>
    </row>
    <row r="9" spans="1:15" ht="16.5" thickBot="1" x14ac:dyDescent="0.3">
      <c r="A9" s="6" t="s">
        <v>15</v>
      </c>
      <c r="B9" s="13">
        <f t="shared" ref="B9:F9" si="3">SUM(B6:B8)</f>
        <v>14654889.200000001</v>
      </c>
      <c r="C9" s="14">
        <f t="shared" si="3"/>
        <v>20321845.5</v>
      </c>
      <c r="D9" s="15">
        <f t="shared" si="3"/>
        <v>34976734.699999996</v>
      </c>
      <c r="E9" s="13">
        <f t="shared" si="3"/>
        <v>120668.29</v>
      </c>
      <c r="F9" s="14">
        <f t="shared" si="3"/>
        <v>172338.82</v>
      </c>
      <c r="G9" s="15">
        <f>SUM(G6:G8)</f>
        <v>293007.11</v>
      </c>
      <c r="H9" s="13">
        <f t="shared" si="0"/>
        <v>106188.0952</v>
      </c>
      <c r="I9" s="41">
        <f t="shared" si="0"/>
        <v>151658.16160000002</v>
      </c>
      <c r="J9" s="13">
        <f>J6</f>
        <v>0</v>
      </c>
      <c r="K9" s="44">
        <f>K6</f>
        <v>5334</v>
      </c>
      <c r="L9" s="14">
        <f>L6</f>
        <v>94000</v>
      </c>
      <c r="M9" s="14">
        <f>M6</f>
        <v>0</v>
      </c>
      <c r="N9" s="15">
        <f>H9+I9+J9+K9+L9+M9</f>
        <v>357180.25680000003</v>
      </c>
      <c r="O9" s="27"/>
    </row>
    <row r="10" spans="1:15" x14ac:dyDescent="0.25">
      <c r="B10" s="1"/>
      <c r="C10" s="1"/>
      <c r="J10" s="27"/>
    </row>
    <row r="11" spans="1:15" ht="15.75" thickBot="1" x14ac:dyDescent="0.3"/>
    <row r="12" spans="1:15" ht="15.75" customHeight="1" x14ac:dyDescent="0.3">
      <c r="A12" s="98" t="s">
        <v>13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100"/>
    </row>
    <row r="13" spans="1:15" ht="15.75" customHeight="1" x14ac:dyDescent="0.25">
      <c r="A13" s="104" t="s">
        <v>16</v>
      </c>
      <c r="B13" s="105"/>
      <c r="C13" s="105"/>
      <c r="D13" s="105"/>
      <c r="E13" s="105"/>
      <c r="F13" s="105"/>
      <c r="G13" s="62" t="s">
        <v>14</v>
      </c>
      <c r="H13" s="63"/>
      <c r="I13" s="63"/>
      <c r="J13" s="63"/>
      <c r="K13" s="64"/>
      <c r="L13" s="22" t="s">
        <v>15</v>
      </c>
    </row>
    <row r="14" spans="1:15" ht="15.75" customHeight="1" x14ac:dyDescent="0.25">
      <c r="A14" s="65"/>
      <c r="B14" s="66"/>
      <c r="C14" s="66"/>
      <c r="D14" s="66"/>
      <c r="E14" s="66"/>
      <c r="F14" s="67"/>
      <c r="G14" s="68" t="s">
        <v>20</v>
      </c>
      <c r="H14" s="69"/>
      <c r="I14" s="70"/>
      <c r="J14" s="18" t="s">
        <v>21</v>
      </c>
      <c r="K14" s="18" t="s">
        <v>22</v>
      </c>
      <c r="L14" s="22"/>
    </row>
    <row r="15" spans="1:15" ht="15.75" customHeight="1" x14ac:dyDescent="0.25">
      <c r="A15" s="108" t="s">
        <v>19</v>
      </c>
      <c r="B15" s="109"/>
      <c r="C15" s="109"/>
      <c r="D15" s="109"/>
      <c r="E15" s="109"/>
      <c r="F15" s="109"/>
      <c r="G15" s="56">
        <f>(6*50)+(1*320)</f>
        <v>620</v>
      </c>
      <c r="H15" s="57"/>
      <c r="I15" s="58"/>
      <c r="J15" s="16">
        <f>SUM(1*320)</f>
        <v>320</v>
      </c>
      <c r="K15" s="16">
        <f>1*320</f>
        <v>320</v>
      </c>
      <c r="L15" s="23">
        <f>G15+J15+K15</f>
        <v>1260</v>
      </c>
    </row>
    <row r="16" spans="1:15" ht="49.5" customHeight="1" x14ac:dyDescent="0.25">
      <c r="A16" s="110" t="s">
        <v>17</v>
      </c>
      <c r="B16" s="111"/>
      <c r="C16" s="111"/>
      <c r="D16" s="111"/>
      <c r="E16" s="111"/>
      <c r="F16" s="112"/>
      <c r="G16" s="56">
        <f>L16*0.8</f>
        <v>150572.80000000002</v>
      </c>
      <c r="H16" s="57"/>
      <c r="I16" s="58"/>
      <c r="J16" s="16">
        <f>L16*0.1</f>
        <v>18821.600000000002</v>
      </c>
      <c r="K16" s="16">
        <f>L16*0.1</f>
        <v>18821.600000000002</v>
      </c>
      <c r="L16" s="23">
        <v>188216</v>
      </c>
      <c r="N16" s="42"/>
    </row>
    <row r="17" spans="1:13" ht="15.75" customHeight="1" x14ac:dyDescent="0.25">
      <c r="A17" s="50" t="s">
        <v>18</v>
      </c>
      <c r="B17" s="51"/>
      <c r="C17" s="51"/>
      <c r="D17" s="51"/>
      <c r="E17" s="51"/>
      <c r="F17" s="52"/>
      <c r="G17" s="80">
        <f>SUM(G22:I26)</f>
        <v>121886.45999999999</v>
      </c>
      <c r="H17" s="81"/>
      <c r="I17" s="82"/>
      <c r="J17" s="95">
        <f>SUM(J22:J26)</f>
        <v>18944.919999999998</v>
      </c>
      <c r="K17" s="95">
        <f>SUM(K22:K26)</f>
        <v>18872.919999999998</v>
      </c>
      <c r="L17" s="95">
        <f>ROUND(G17+J17+K17,0)</f>
        <v>159704</v>
      </c>
    </row>
    <row r="18" spans="1:13" ht="15.75" customHeight="1" x14ac:dyDescent="0.25">
      <c r="A18" s="113"/>
      <c r="B18" s="114"/>
      <c r="C18" s="114"/>
      <c r="D18" s="114"/>
      <c r="E18" s="114"/>
      <c r="F18" s="115"/>
      <c r="G18" s="83"/>
      <c r="H18" s="84"/>
      <c r="I18" s="85"/>
      <c r="J18" s="96"/>
      <c r="K18" s="96"/>
      <c r="L18" s="96"/>
    </row>
    <row r="19" spans="1:13" ht="32.25" customHeight="1" x14ac:dyDescent="0.25">
      <c r="A19" s="113"/>
      <c r="B19" s="114"/>
      <c r="C19" s="114"/>
      <c r="D19" s="114"/>
      <c r="E19" s="114"/>
      <c r="F19" s="115"/>
      <c r="G19" s="83"/>
      <c r="H19" s="84"/>
      <c r="I19" s="85"/>
      <c r="J19" s="96"/>
      <c r="K19" s="96"/>
      <c r="L19" s="96"/>
      <c r="M19" s="42"/>
    </row>
    <row r="20" spans="1:13" ht="15.75" customHeight="1" x14ac:dyDescent="0.25">
      <c r="A20" s="113"/>
      <c r="B20" s="114"/>
      <c r="C20" s="114"/>
      <c r="D20" s="114"/>
      <c r="E20" s="114"/>
      <c r="F20" s="115"/>
      <c r="G20" s="83"/>
      <c r="H20" s="84"/>
      <c r="I20" s="85"/>
      <c r="J20" s="96"/>
      <c r="K20" s="96"/>
      <c r="L20" s="96"/>
    </row>
    <row r="21" spans="1:13" ht="15.75" customHeight="1" x14ac:dyDescent="0.25">
      <c r="A21" s="116"/>
      <c r="B21" s="117"/>
      <c r="C21" s="117"/>
      <c r="D21" s="117"/>
      <c r="E21" s="117"/>
      <c r="F21" s="118"/>
      <c r="G21" s="86"/>
      <c r="H21" s="87"/>
      <c r="I21" s="88"/>
      <c r="J21" s="97"/>
      <c r="K21" s="97"/>
      <c r="L21" s="97"/>
    </row>
    <row r="22" spans="1:13" ht="31.5" customHeight="1" x14ac:dyDescent="0.25">
      <c r="A22" s="89" t="s">
        <v>33</v>
      </c>
      <c r="B22" s="90"/>
      <c r="C22" s="90"/>
      <c r="D22" s="90"/>
      <c r="E22" s="90"/>
      <c r="F22" s="91"/>
      <c r="G22" s="77">
        <f>3.11*456</f>
        <v>1418.1599999999999</v>
      </c>
      <c r="H22" s="78"/>
      <c r="I22" s="79"/>
      <c r="J22" s="17">
        <f>SUM(3.11*72)</f>
        <v>223.92</v>
      </c>
      <c r="K22" s="17">
        <f>SUM(3.11*72)</f>
        <v>223.92</v>
      </c>
      <c r="L22" s="24">
        <f>ROUND(G22+J22+K22,0)</f>
        <v>1866</v>
      </c>
    </row>
    <row r="23" spans="1:13" ht="30.75" customHeight="1" x14ac:dyDescent="0.25">
      <c r="A23" s="89" t="s">
        <v>34</v>
      </c>
      <c r="B23" s="90"/>
      <c r="C23" s="90"/>
      <c r="D23" s="90"/>
      <c r="E23" s="90"/>
      <c r="F23" s="91"/>
      <c r="G23" s="77">
        <f>95*456</f>
        <v>43320</v>
      </c>
      <c r="H23" s="78"/>
      <c r="I23" s="79"/>
      <c r="J23" s="17">
        <f>SUM(95*72)</f>
        <v>6840</v>
      </c>
      <c r="K23" s="17">
        <f>SUM(95*72)</f>
        <v>6840</v>
      </c>
      <c r="L23" s="24">
        <f t="shared" ref="L23:L27" si="4">G23+J23+K23</f>
        <v>57000</v>
      </c>
    </row>
    <row r="24" spans="1:13" ht="15.75" customHeight="1" x14ac:dyDescent="0.25">
      <c r="A24" s="74" t="s">
        <v>25</v>
      </c>
      <c r="B24" s="75"/>
      <c r="C24" s="75"/>
      <c r="D24" s="75"/>
      <c r="E24" s="75"/>
      <c r="F24" s="76"/>
      <c r="G24" s="77">
        <f>456*36</f>
        <v>16416</v>
      </c>
      <c r="H24" s="78"/>
      <c r="I24" s="79"/>
      <c r="J24" s="17">
        <f>SUM(72*36)</f>
        <v>2592</v>
      </c>
      <c r="K24" s="17">
        <f>SUM(72*35)</f>
        <v>2520</v>
      </c>
      <c r="L24" s="24">
        <f t="shared" si="4"/>
        <v>21528</v>
      </c>
    </row>
    <row r="25" spans="1:13" ht="15.75" customHeight="1" x14ac:dyDescent="0.25">
      <c r="A25" s="74" t="s">
        <v>26</v>
      </c>
      <c r="B25" s="75"/>
      <c r="C25" s="75"/>
      <c r="D25" s="75"/>
      <c r="E25" s="75"/>
      <c r="F25" s="76"/>
      <c r="G25" s="77">
        <f>670*89.69</f>
        <v>60092.299999999996</v>
      </c>
      <c r="H25" s="78"/>
      <c r="I25" s="79"/>
      <c r="J25" s="17">
        <f>SUM(100*89.69)</f>
        <v>8969</v>
      </c>
      <c r="K25" s="17">
        <f>SUM(100*89.69)</f>
        <v>8969</v>
      </c>
      <c r="L25" s="24">
        <f>G25+J25+K25</f>
        <v>78030.299999999988</v>
      </c>
    </row>
    <row r="26" spans="1:13" ht="15.75" customHeight="1" x14ac:dyDescent="0.25">
      <c r="A26" s="74" t="s">
        <v>28</v>
      </c>
      <c r="B26" s="75"/>
      <c r="C26" s="75"/>
      <c r="D26" s="75"/>
      <c r="E26" s="75"/>
      <c r="F26" s="76"/>
      <c r="G26" s="77">
        <f>2*320</f>
        <v>640</v>
      </c>
      <c r="H26" s="78"/>
      <c r="I26" s="79"/>
      <c r="J26" s="17">
        <f>1*320</f>
        <v>320</v>
      </c>
      <c r="K26" s="17">
        <f>1*320</f>
        <v>320</v>
      </c>
      <c r="L26" s="24">
        <f>G26+J26+K26</f>
        <v>1280</v>
      </c>
    </row>
    <row r="27" spans="1:13" ht="77.25" customHeight="1" x14ac:dyDescent="0.25">
      <c r="A27" s="50" t="s">
        <v>24</v>
      </c>
      <c r="B27" s="51"/>
      <c r="C27" s="51"/>
      <c r="D27" s="51"/>
      <c r="E27" s="51"/>
      <c r="F27" s="52"/>
      <c r="G27" s="56">
        <v>4000</v>
      </c>
      <c r="H27" s="57"/>
      <c r="I27" s="58"/>
      <c r="J27" s="16">
        <v>1950</v>
      </c>
      <c r="K27" s="16">
        <v>2050</v>
      </c>
      <c r="L27" s="23">
        <f t="shared" si="4"/>
        <v>8000</v>
      </c>
      <c r="M27" s="42"/>
    </row>
    <row r="28" spans="1:13" ht="15.75" customHeight="1" thickBot="1" x14ac:dyDescent="0.35">
      <c r="A28" s="47" t="s">
        <v>15</v>
      </c>
      <c r="B28" s="48"/>
      <c r="C28" s="48"/>
      <c r="D28" s="48"/>
      <c r="E28" s="48"/>
      <c r="F28" s="49"/>
      <c r="G28" s="53">
        <f>G15+G16+G17+G27</f>
        <v>277079.26</v>
      </c>
      <c r="H28" s="54"/>
      <c r="I28" s="55"/>
      <c r="J28" s="25">
        <f>J15+J16+J17+J27</f>
        <v>40036.520000000004</v>
      </c>
      <c r="K28" s="25">
        <f>K15+K16+K17+K27</f>
        <v>40064.520000000004</v>
      </c>
      <c r="L28" s="26">
        <f>L15+L16+L17+L27</f>
        <v>357180</v>
      </c>
    </row>
    <row r="30" spans="1:13" ht="19.5" x14ac:dyDescent="0.3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2" spans="1:13" ht="15.75" x14ac:dyDescent="0.25">
      <c r="A32" s="45" t="s">
        <v>36</v>
      </c>
      <c r="B32" s="45"/>
      <c r="C32" s="45"/>
      <c r="D32" s="45"/>
      <c r="E32" s="45"/>
      <c r="F32" s="45"/>
      <c r="G32" s="45" t="s">
        <v>37</v>
      </c>
      <c r="H32" s="45"/>
    </row>
    <row r="33" spans="1:8" ht="15.75" x14ac:dyDescent="0.25">
      <c r="A33" s="45" t="s">
        <v>42</v>
      </c>
      <c r="B33" s="45"/>
      <c r="C33" s="45"/>
      <c r="D33" s="45"/>
      <c r="E33" s="45"/>
      <c r="F33" s="45"/>
      <c r="G33" s="45" t="s">
        <v>39</v>
      </c>
      <c r="H33" s="45"/>
    </row>
    <row r="34" spans="1:8" ht="15.75" x14ac:dyDescent="0.25">
      <c r="A34" s="45" t="s">
        <v>45</v>
      </c>
    </row>
    <row r="36" spans="1:8" ht="15.75" x14ac:dyDescent="0.25">
      <c r="A36" s="45" t="s">
        <v>41</v>
      </c>
    </row>
    <row r="37" spans="1:8" ht="15.75" x14ac:dyDescent="0.25">
      <c r="A37" s="45" t="s">
        <v>38</v>
      </c>
    </row>
    <row r="38" spans="1:8" ht="15.75" x14ac:dyDescent="0.25">
      <c r="A38" s="45" t="s">
        <v>40</v>
      </c>
    </row>
    <row r="40" spans="1:8" ht="15.75" x14ac:dyDescent="0.25">
      <c r="A40" s="45" t="s">
        <v>41</v>
      </c>
    </row>
    <row r="41" spans="1:8" ht="15.75" x14ac:dyDescent="0.25">
      <c r="A41" s="45" t="s">
        <v>43</v>
      </c>
    </row>
    <row r="42" spans="1:8" ht="15.75" x14ac:dyDescent="0.25">
      <c r="A42" s="45" t="s">
        <v>44</v>
      </c>
    </row>
    <row r="67" spans="1:7" ht="15" customHeight="1" x14ac:dyDescent="0.25">
      <c r="A67" s="2"/>
      <c r="B67" s="2"/>
      <c r="C67" s="2"/>
      <c r="D67" s="2"/>
      <c r="E67" s="2"/>
      <c r="F67" s="2"/>
    </row>
    <row r="68" spans="1:7" ht="15" customHeight="1" x14ac:dyDescent="0.25">
      <c r="A68" s="2"/>
      <c r="B68" s="2"/>
      <c r="C68" s="2"/>
      <c r="D68" s="2"/>
      <c r="E68" s="2"/>
      <c r="F68" s="2"/>
    </row>
    <row r="69" spans="1:7" ht="15" customHeight="1" x14ac:dyDescent="0.25">
      <c r="B69" s="2"/>
      <c r="C69" s="2"/>
      <c r="D69" s="2"/>
      <c r="E69" s="2"/>
      <c r="F69" s="2"/>
    </row>
    <row r="73" spans="1:7" ht="15.75" x14ac:dyDescent="0.25">
      <c r="G73" s="2"/>
    </row>
    <row r="74" spans="1:7" ht="15.75" x14ac:dyDescent="0.25">
      <c r="G74" s="2"/>
    </row>
    <row r="75" spans="1:7" ht="15.75" x14ac:dyDescent="0.25">
      <c r="G75" s="2"/>
    </row>
  </sheetData>
  <mergeCells count="40">
    <mergeCell ref="A1:O1"/>
    <mergeCell ref="A2:O2"/>
    <mergeCell ref="A3:O3"/>
    <mergeCell ref="G26:I26"/>
    <mergeCell ref="L17:L21"/>
    <mergeCell ref="K17:K21"/>
    <mergeCell ref="J17:J21"/>
    <mergeCell ref="A12:L12"/>
    <mergeCell ref="B4:D4"/>
    <mergeCell ref="A13:F13"/>
    <mergeCell ref="E4:G4"/>
    <mergeCell ref="L6:L8"/>
    <mergeCell ref="A15:F15"/>
    <mergeCell ref="G15:I15"/>
    <mergeCell ref="A16:F16"/>
    <mergeCell ref="A17:F21"/>
    <mergeCell ref="G16:I16"/>
    <mergeCell ref="G17:I21"/>
    <mergeCell ref="A24:F24"/>
    <mergeCell ref="A23:F23"/>
    <mergeCell ref="A22:F22"/>
    <mergeCell ref="G23:I23"/>
    <mergeCell ref="A26:F26"/>
    <mergeCell ref="G22:I22"/>
    <mergeCell ref="A25:F25"/>
    <mergeCell ref="G25:I25"/>
    <mergeCell ref="G24:I24"/>
    <mergeCell ref="J6:J8"/>
    <mergeCell ref="H4:O4"/>
    <mergeCell ref="G13:K13"/>
    <mergeCell ref="A14:F14"/>
    <mergeCell ref="G14:I14"/>
    <mergeCell ref="K6:K8"/>
    <mergeCell ref="A4:A5"/>
    <mergeCell ref="M6:M8"/>
    <mergeCell ref="A30:L30"/>
    <mergeCell ref="A28:F28"/>
    <mergeCell ref="A27:F27"/>
    <mergeCell ref="G28:I28"/>
    <mergeCell ref="G27:I27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2" sqref="C32"/>
    </sheetView>
  </sheetViews>
  <sheetFormatPr defaultRowHeight="15" x14ac:dyDescent="0.25"/>
  <cols>
    <col min="5" max="5" width="11" bestFit="1" customWidth="1"/>
    <col min="6" max="6" width="10" bestFit="1" customWidth="1"/>
    <col min="10" max="10" width="10" bestFit="1" customWidth="1"/>
    <col min="11" max="11" width="11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8" sqref="L8"/>
    </sheetView>
  </sheetViews>
  <sheetFormatPr defaultRowHeight="15" x14ac:dyDescent="0.25"/>
  <cols>
    <col min="4" max="4" width="10" bestFit="1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20" sqref="K20"/>
    </sheetView>
  </sheetViews>
  <sheetFormatPr defaultRowHeight="15" x14ac:dyDescent="0.25"/>
  <cols>
    <col min="13" max="13" width="14.8554687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M7" sqref="M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Scetovodstvo</dc:creator>
  <cp:lastModifiedBy>Еколог</cp:lastModifiedBy>
  <cp:lastPrinted>2023-12-20T13:04:34Z</cp:lastPrinted>
  <dcterms:created xsi:type="dcterms:W3CDTF">2015-12-12T07:05:07Z</dcterms:created>
  <dcterms:modified xsi:type="dcterms:W3CDTF">2024-12-04T14:02:49Z</dcterms:modified>
</cp:coreProperties>
</file>