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ТБО 2026\ЗА СЕСИЯ\"/>
    </mc:Choice>
  </mc:AlternateContent>
  <xr:revisionPtr revIDLastSave="0" documentId="13_ncr:1_{A20D4BB4-8A13-4D46-99C7-8ADB51C0D54F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Лист1" sheetId="1" r:id="rId1"/>
    <sheet name="Лист2" sheetId="2" r:id="rId2"/>
  </sheets>
  <calcPr calcId="181029"/>
</workbook>
</file>

<file path=xl/calcChain.xml><?xml version="1.0" encoding="utf-8"?>
<calcChain xmlns="http://schemas.openxmlformats.org/spreadsheetml/2006/main">
  <c r="U9" i="1" l="1"/>
  <c r="T9" i="1"/>
  <c r="S9" i="1"/>
  <c r="S6" i="1"/>
  <c r="R9" i="1"/>
  <c r="G16" i="1" l="1"/>
  <c r="N26" i="1"/>
  <c r="L26" i="1"/>
  <c r="J26" i="1"/>
  <c r="G22" i="1"/>
  <c r="K22" i="1"/>
  <c r="L22" i="1" s="1"/>
  <c r="M22" i="1"/>
  <c r="N22" i="1" s="1"/>
  <c r="G23" i="1"/>
  <c r="J23" i="1" s="1"/>
  <c r="K23" i="1"/>
  <c r="L23" i="1" s="1"/>
  <c r="M23" i="1"/>
  <c r="N23" i="1" s="1"/>
  <c r="P26" i="1" l="1"/>
  <c r="O22" i="1"/>
  <c r="O23" i="1"/>
  <c r="J22" i="1"/>
  <c r="P22" i="1" s="1"/>
  <c r="P23" i="1"/>
  <c r="Q6" i="1" l="1"/>
  <c r="O6" i="1" l="1"/>
  <c r="L7" i="1"/>
  <c r="L8" i="1"/>
  <c r="L9" i="1"/>
  <c r="L6" i="1"/>
  <c r="K9" i="1"/>
  <c r="M9" i="1" s="1"/>
  <c r="K7" i="1"/>
  <c r="M7" i="1" s="1"/>
  <c r="U7" i="1" s="1"/>
  <c r="K8" i="1"/>
  <c r="K6" i="1"/>
  <c r="N9" i="1"/>
  <c r="O9" i="1" s="1"/>
  <c r="I9" i="1"/>
  <c r="I7" i="1"/>
  <c r="I8" i="1"/>
  <c r="I6" i="1"/>
  <c r="H9" i="1"/>
  <c r="J9" i="1" s="1"/>
  <c r="H7" i="1"/>
  <c r="H8" i="1"/>
  <c r="H6" i="1"/>
  <c r="M15" i="1"/>
  <c r="N15" i="1" s="1"/>
  <c r="K15" i="1"/>
  <c r="L15" i="1" s="1"/>
  <c r="G15" i="1"/>
  <c r="M24" i="1"/>
  <c r="N24" i="1" s="1"/>
  <c r="K24" i="1"/>
  <c r="G24" i="1"/>
  <c r="J24" i="1" s="1"/>
  <c r="J15" i="1" l="1"/>
  <c r="P15" i="1" s="1"/>
  <c r="O15" i="1"/>
  <c r="L24" i="1"/>
  <c r="P24" i="1" s="1"/>
  <c r="M6" i="1"/>
  <c r="U6" i="1" s="1"/>
  <c r="J8" i="1"/>
  <c r="T8" i="1" s="1"/>
  <c r="J7" i="1"/>
  <c r="T7" i="1" s="1"/>
  <c r="M8" i="1"/>
  <c r="U8" i="1" s="1"/>
  <c r="J6" i="1"/>
  <c r="T6" i="1" s="1"/>
  <c r="G25" i="1"/>
  <c r="J25" i="1" s="1"/>
  <c r="J17" i="1" s="1"/>
  <c r="G17" i="1" l="1"/>
  <c r="M25" i="1" l="1"/>
  <c r="N25" i="1" s="1"/>
  <c r="N17" i="1" s="1"/>
  <c r="K25" i="1" l="1"/>
  <c r="O25" i="1" l="1"/>
  <c r="L25" i="1"/>
  <c r="K17" i="1"/>
  <c r="M17" i="1"/>
  <c r="P25" i="1" l="1"/>
  <c r="L17" i="1"/>
  <c r="P17" i="1" s="1"/>
  <c r="P9" i="1"/>
  <c r="Q9" i="1" l="1"/>
  <c r="O17" i="1"/>
  <c r="M16" i="1"/>
  <c r="N16" i="1" s="1"/>
  <c r="N27" i="1" s="1"/>
  <c r="K16" i="1" l="1"/>
  <c r="L16" i="1" s="1"/>
  <c r="L27" i="1" s="1"/>
  <c r="J16" i="1"/>
  <c r="J27" i="1" l="1"/>
  <c r="P27" i="1" s="1"/>
  <c r="P16" i="1"/>
  <c r="O24" i="1"/>
  <c r="M27" i="1"/>
  <c r="D7" i="1"/>
  <c r="D8" i="1"/>
  <c r="D6" i="1"/>
  <c r="K27" i="1" l="1"/>
  <c r="G27" i="1" l="1"/>
  <c r="O26" i="1" l="1"/>
  <c r="O27" i="1" s="1"/>
  <c r="D9" i="1"/>
</calcChain>
</file>

<file path=xl/sharedStrings.xml><?xml version="1.0" encoding="utf-8"?>
<sst xmlns="http://schemas.openxmlformats.org/spreadsheetml/2006/main" count="58" uniqueCount="53">
  <si>
    <t xml:space="preserve">Сърница </t>
  </si>
  <si>
    <t>Побит камък</t>
  </si>
  <si>
    <t>Медени поляни</t>
  </si>
  <si>
    <t>ФЛ</t>
  </si>
  <si>
    <t>ЮЛ</t>
  </si>
  <si>
    <t xml:space="preserve">ФЛ </t>
  </si>
  <si>
    <t xml:space="preserve">ЮЛ </t>
  </si>
  <si>
    <t>ОБЩО</t>
  </si>
  <si>
    <t>Приходи</t>
  </si>
  <si>
    <t>Приложение №1</t>
  </si>
  <si>
    <t>I. Приходи</t>
  </si>
  <si>
    <t>II. Разходи</t>
  </si>
  <si>
    <t>Населено място</t>
  </si>
  <si>
    <t>Общо</t>
  </si>
  <si>
    <t>Наименование</t>
  </si>
  <si>
    <t xml:space="preserve">2. Събиране, включително разделно, на битовите отпадъци и транспортирането им до депата или други инсталации и съоръжения за третирането им
</t>
  </si>
  <si>
    <t xml:space="preserve">3. Проучване, проектиране, изграждане, поддържане, експлоатация, закриване и мониторинг на депата за битови отпадъци или други инсталации или съоръжения за обезвреждане, рециклиране и оползотворяване на битови отпадъци, включително отчисленията по чл. 60 и 64 от Закона за управление на отпадъците
</t>
  </si>
  <si>
    <t>1. Осигуряване на съдове за съхраняване на битовите отпадъци - контейнери, кофи и други</t>
  </si>
  <si>
    <t xml:space="preserve">гр.  Сърница </t>
  </si>
  <si>
    <t>с. Побит камък</t>
  </si>
  <si>
    <t>с. Медени поляни</t>
  </si>
  <si>
    <t xml:space="preserve">4. Поддържане на чистотата на уличните платна, площадите, алеите, парковите и другите територии от населените места и селищните образувания в общината, предназначени за обществено ползване
</t>
  </si>
  <si>
    <t xml:space="preserve">     3.3. Разходи за депониране на БО</t>
  </si>
  <si>
    <t>Изготвил:</t>
  </si>
  <si>
    <t xml:space="preserve">Кмет: </t>
  </si>
  <si>
    <t>Исмаил Църенски</t>
  </si>
  <si>
    <t>Неби Бозов</t>
  </si>
  <si>
    <t>Гл. счетоводител</t>
  </si>
  <si>
    <t>Съгласувал:</t>
  </si>
  <si>
    <t>Аки Кисьов</t>
  </si>
  <si>
    <t>Аки Молаахмед</t>
  </si>
  <si>
    <t>Ст. специалист "МДТ"</t>
  </si>
  <si>
    <t>Гл. спеиалист "ЗГЕ"</t>
  </si>
  <si>
    <t xml:space="preserve">     3.4 Разходи за  инсталация за предварително третиране и компостираща инсталаци</t>
  </si>
  <si>
    <t>Прогнозен облог за 2025 г. в лева</t>
  </si>
  <si>
    <t>Прогнозен облог за 2025 г. в евро</t>
  </si>
  <si>
    <t>ТАКСА БИТОВИ ОТПАДЪЦИ - ФИЗИЧЕКИ ЛИЦА (ЛЕВА)</t>
  </si>
  <si>
    <t>ТАКСА БИТОВИ ОТПАДЪЦИ - ЮРИДИЧЕСКИ ЛИЦА (ЛЕВА)</t>
  </si>
  <si>
    <t>ОБЩО (ЛЕВА)</t>
  </si>
  <si>
    <t>ТАКСА БИТОВИ ОТПАДЪЦИ - ФИЗИЧЕКИ ЛИЦА (ЕВРО)</t>
  </si>
  <si>
    <t>ТАКСА БИТОВИ ОТПАДЪЦИ - ЮРИДИЧЕСКИ ЛИЦА (ЕВРО)</t>
  </si>
  <si>
    <t>ОБЩО (ЕВРО)</t>
  </si>
  <si>
    <t>Приходи от прождаби на фракции от предварително третиране на битови отпадъци (лева)</t>
  </si>
  <si>
    <t>Приходи от прождаби на фракции от предварително третиране на битови отпадъци (евро)</t>
  </si>
  <si>
    <t>Преходен остатък от такса битови отпадъци 2025 г. (лева)</t>
  </si>
  <si>
    <t>Преходен остатък от такса битови отпадъци 2025 г. (евро)</t>
  </si>
  <si>
    <t>ОБЩО ПРИХОДИ В ЛЕВА</t>
  </si>
  <si>
    <t>ОБЩО ПРИХОДИ В ЕВРО</t>
  </si>
  <si>
    <t>План сметка на община Сърница за 2026 година</t>
  </si>
  <si>
    <t xml:space="preserve">     3.1.  Отчисления по чл. 60 от ЗУО</t>
  </si>
  <si>
    <t xml:space="preserve">     3.2.  Отчисления от чл.64 от ЗУО </t>
  </si>
  <si>
    <t>Приходи от други местни данъци и такси (лева)</t>
  </si>
  <si>
    <t>Приходи от други местни данъци и такси (евро)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</si>
</sst>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-* #,##0\ &quot;лв.&quot;_-;\-* #,##0\ &quot;лв.&quot;_-;_-* &quot;-&quot;\ &quot;лв.&quot;_-;_-@_-"/>
    <numFmt numFmtId="44" formatCode="_-* #,##0.00\ &quot;лв.&quot;_-;\-* #,##0.00\ &quot;лв.&quot;_-;_-* &quot;-&quot;??\ &quot;лв.&quot;_-;_-@_-"/>
    <numFmt numFmtId="164" formatCode="_-* #,##0.00\ _л_в_._-;\-* #,##0.00\ _л_в_._-;_-* &quot;-&quot;??\ _л_в_._-;_-@_-"/>
    <numFmt numFmtId="165" formatCode="_-* #,##0\ _л_в_._-;\-* #,##0\ _л_в_._-;_-* &quot;-&quot;??\ _л_в_._-;_-@_-"/>
    <numFmt numFmtId="166" formatCode="_-* #,##0.00\ [$€-1]_-;\-* #,##0.00\ [$€-1]_-;_-* &quot;-&quot;??\ [$€-1]_-;_-@_-"/>
    <numFmt numFmtId="167" formatCode="_-* #,##0\ [$€-1]_-;\-* #,##0\ [$€-1]_-;_-* &quot;-&quot;\ [$€-1]_-;_-@_-"/>
    <numFmt numFmtId="168" formatCode="_-* #,##0\ &quot;лв.&quot;_-;\-* #,##0\ &quot;лв.&quot;_-;_-* &quot;-&quot;??\ &quot;лв.&quot;_-;_-@_-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8">
    <xf numFmtId="0" fontId="0" fillId="0" borderId="0" xfId="0"/>
    <xf numFmtId="4" fontId="1" fillId="0" borderId="0" xfId="0" applyNumberFormat="1" applyFont="1"/>
    <xf numFmtId="0" fontId="2" fillId="0" borderId="0" xfId="0" applyFont="1" applyAlignment="1">
      <alignment horizontal="center" wrapText="1"/>
    </xf>
    <xf numFmtId="0" fontId="4" fillId="2" borderId="8" xfId="0" applyFont="1" applyFill="1" applyBorder="1"/>
    <xf numFmtId="0" fontId="4" fillId="2" borderId="14" xfId="0" applyFont="1" applyFill="1" applyBorder="1"/>
    <xf numFmtId="0" fontId="4" fillId="2" borderId="15" xfId="0" applyFont="1" applyFill="1" applyBorder="1"/>
    <xf numFmtId="0" fontId="4" fillId="2" borderId="16" xfId="0" applyFont="1" applyFill="1" applyBorder="1"/>
    <xf numFmtId="165" fontId="0" fillId="0" borderId="0" xfId="0" applyNumberFormat="1"/>
    <xf numFmtId="164" fontId="0" fillId="0" borderId="0" xfId="0" applyNumberFormat="1"/>
    <xf numFmtId="0" fontId="4" fillId="0" borderId="0" xfId="0" applyFont="1"/>
    <xf numFmtId="0" fontId="4" fillId="2" borderId="1" xfId="0" applyFont="1" applyFill="1" applyBorder="1" applyAlignment="1">
      <alignment horizontal="center"/>
    </xf>
    <xf numFmtId="0" fontId="0" fillId="0" borderId="1" xfId="0" applyBorder="1"/>
    <xf numFmtId="0" fontId="4" fillId="2" borderId="23" xfId="0" applyFont="1" applyFill="1" applyBorder="1"/>
    <xf numFmtId="0" fontId="4" fillId="2" borderId="24" xfId="0" applyFont="1" applyFill="1" applyBorder="1"/>
    <xf numFmtId="44" fontId="9" fillId="2" borderId="11" xfId="0" applyNumberFormat="1" applyFont="1" applyFill="1" applyBorder="1"/>
    <xf numFmtId="44" fontId="9" fillId="2" borderId="3" xfId="0" applyNumberFormat="1" applyFont="1" applyFill="1" applyBorder="1"/>
    <xf numFmtId="44" fontId="9" fillId="2" borderId="12" xfId="0" applyNumberFormat="1" applyFont="1" applyFill="1" applyBorder="1"/>
    <xf numFmtId="166" fontId="9" fillId="2" borderId="11" xfId="0" applyNumberFormat="1" applyFont="1" applyFill="1" applyBorder="1"/>
    <xf numFmtId="166" fontId="9" fillId="2" borderId="3" xfId="0" applyNumberFormat="1" applyFont="1" applyFill="1" applyBorder="1"/>
    <xf numFmtId="166" fontId="9" fillId="2" borderId="12" xfId="0" applyNumberFormat="1" applyFont="1" applyFill="1" applyBorder="1"/>
    <xf numFmtId="44" fontId="9" fillId="2" borderId="9" xfId="0" applyNumberFormat="1" applyFont="1" applyFill="1" applyBorder="1"/>
    <xf numFmtId="44" fontId="9" fillId="2" borderId="1" xfId="0" applyNumberFormat="1" applyFont="1" applyFill="1" applyBorder="1"/>
    <xf numFmtId="44" fontId="9" fillId="2" borderId="10" xfId="0" applyNumberFormat="1" applyFont="1" applyFill="1" applyBorder="1"/>
    <xf numFmtId="166" fontId="9" fillId="2" borderId="9" xfId="0" applyNumberFormat="1" applyFont="1" applyFill="1" applyBorder="1"/>
    <xf numFmtId="166" fontId="9" fillId="2" borderId="1" xfId="0" applyNumberFormat="1" applyFont="1" applyFill="1" applyBorder="1"/>
    <xf numFmtId="44" fontId="9" fillId="2" borderId="20" xfId="0" applyNumberFormat="1" applyFont="1" applyFill="1" applyBorder="1"/>
    <xf numFmtId="44" fontId="9" fillId="2" borderId="2" xfId="0" applyNumberFormat="1" applyFont="1" applyFill="1" applyBorder="1"/>
    <xf numFmtId="44" fontId="9" fillId="2" borderId="17" xfId="0" applyNumberFormat="1" applyFont="1" applyFill="1" applyBorder="1"/>
    <xf numFmtId="166" fontId="9" fillId="2" borderId="20" xfId="0" applyNumberFormat="1" applyFont="1" applyFill="1" applyBorder="1"/>
    <xf numFmtId="166" fontId="9" fillId="2" borderId="2" xfId="0" applyNumberFormat="1" applyFont="1" applyFill="1" applyBorder="1"/>
    <xf numFmtId="44" fontId="10" fillId="2" borderId="21" xfId="0" applyNumberFormat="1" applyFont="1" applyFill="1" applyBorder="1"/>
    <xf numFmtId="44" fontId="10" fillId="2" borderId="18" xfId="0" applyNumberFormat="1" applyFont="1" applyFill="1" applyBorder="1"/>
    <xf numFmtId="44" fontId="10" fillId="2" borderId="19" xfId="0" applyNumberFormat="1" applyFont="1" applyFill="1" applyBorder="1"/>
    <xf numFmtId="166" fontId="10" fillId="2" borderId="21" xfId="0" applyNumberFormat="1" applyFont="1" applyFill="1" applyBorder="1"/>
    <xf numFmtId="166" fontId="10" fillId="2" borderId="18" xfId="0" applyNumberFormat="1" applyFont="1" applyFill="1" applyBorder="1"/>
    <xf numFmtId="166" fontId="10" fillId="2" borderId="19" xfId="0" applyNumberFormat="1" applyFont="1" applyFill="1" applyBorder="1"/>
    <xf numFmtId="167" fontId="11" fillId="0" borderId="22" xfId="0" applyNumberFormat="1" applyFont="1" applyBorder="1" applyAlignment="1">
      <alignment horizontal="center" vertical="center"/>
    </xf>
    <xf numFmtId="167" fontId="11" fillId="0" borderId="4" xfId="0" applyNumberFormat="1" applyFont="1" applyBorder="1" applyAlignment="1">
      <alignment horizontal="center" vertical="center"/>
    </xf>
    <xf numFmtId="42" fontId="8" fillId="2" borderId="5" xfId="0" applyNumberFormat="1" applyFont="1" applyFill="1" applyBorder="1" applyAlignment="1">
      <alignment horizontal="center" vertical="center"/>
    </xf>
    <xf numFmtId="42" fontId="8" fillId="2" borderId="3" xfId="0" applyNumberFormat="1" applyFont="1" applyFill="1" applyBorder="1" applyAlignment="1">
      <alignment horizontal="center" vertical="center"/>
    </xf>
    <xf numFmtId="42" fontId="11" fillId="2" borderId="1" xfId="0" applyNumberFormat="1" applyFont="1" applyFill="1" applyBorder="1" applyAlignment="1">
      <alignment horizontal="center" vertical="center"/>
    </xf>
    <xf numFmtId="42" fontId="3" fillId="2" borderId="21" xfId="0" applyNumberFormat="1" applyFont="1" applyFill="1" applyBorder="1" applyAlignment="1">
      <alignment horizontal="center" vertical="center"/>
    </xf>
    <xf numFmtId="42" fontId="3" fillId="2" borderId="25" xfId="0" applyNumberFormat="1" applyFont="1" applyFill="1" applyBorder="1" applyAlignment="1">
      <alignment horizontal="center" vertical="center"/>
    </xf>
    <xf numFmtId="42" fontId="3" fillId="2" borderId="32" xfId="0" applyNumberFormat="1" applyFont="1" applyFill="1" applyBorder="1" applyAlignment="1">
      <alignment horizontal="center" vertical="center"/>
    </xf>
    <xf numFmtId="167" fontId="4" fillId="2" borderId="21" xfId="0" applyNumberFormat="1" applyFont="1" applyFill="1" applyBorder="1" applyAlignment="1">
      <alignment horizontal="center" vertical="center"/>
    </xf>
    <xf numFmtId="167" fontId="4" fillId="2" borderId="29" xfId="0" applyNumberFormat="1" applyFont="1" applyFill="1" applyBorder="1" applyAlignment="1">
      <alignment horizontal="center" vertical="center"/>
    </xf>
    <xf numFmtId="167" fontId="11" fillId="0" borderId="8" xfId="0" applyNumberFormat="1" applyFont="1" applyBorder="1" applyAlignment="1">
      <alignment horizontal="center" vertical="center"/>
    </xf>
    <xf numFmtId="42" fontId="4" fillId="2" borderId="26" xfId="0" applyNumberFormat="1" applyFont="1" applyFill="1" applyBorder="1" applyAlignment="1">
      <alignment horizontal="center" vertical="center"/>
    </xf>
    <xf numFmtId="167" fontId="4" fillId="2" borderId="26" xfId="0" applyNumberFormat="1" applyFont="1" applyFill="1" applyBorder="1" applyAlignment="1">
      <alignment horizontal="center" vertical="center"/>
    </xf>
    <xf numFmtId="42" fontId="4" fillId="2" borderId="18" xfId="0" applyNumberFormat="1" applyFont="1" applyFill="1" applyBorder="1" applyAlignment="1">
      <alignment horizontal="center" vertical="center"/>
    </xf>
    <xf numFmtId="167" fontId="4" fillId="2" borderId="18" xfId="0" applyNumberFormat="1" applyFont="1" applyFill="1" applyBorder="1" applyAlignment="1">
      <alignment horizontal="center" vertical="center"/>
    </xf>
    <xf numFmtId="167" fontId="3" fillId="2" borderId="12" xfId="0" applyNumberFormat="1" applyFont="1" applyFill="1" applyBorder="1"/>
    <xf numFmtId="167" fontId="3" fillId="2" borderId="19" xfId="0" applyNumberFormat="1" applyFont="1" applyFill="1" applyBorder="1"/>
    <xf numFmtId="42" fontId="8" fillId="0" borderId="22" xfId="0" applyNumberFormat="1" applyFont="1" applyBorder="1"/>
    <xf numFmtId="42" fontId="3" fillId="2" borderId="18" xfId="0" applyNumberFormat="1" applyFont="1" applyFill="1" applyBorder="1"/>
    <xf numFmtId="0" fontId="4" fillId="2" borderId="33" xfId="0" applyFont="1" applyFill="1" applyBorder="1"/>
    <xf numFmtId="44" fontId="0" fillId="0" borderId="0" xfId="0" applyNumberFormat="1"/>
    <xf numFmtId="42" fontId="11" fillId="2" borderId="3" xfId="0" applyNumberFormat="1" applyFont="1" applyFill="1" applyBorder="1" applyAlignment="1">
      <alignment horizontal="center" vertical="center"/>
    </xf>
    <xf numFmtId="42" fontId="8" fillId="0" borderId="4" xfId="0" applyNumberFormat="1" applyFont="1" applyBorder="1"/>
    <xf numFmtId="0" fontId="4" fillId="2" borderId="21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 wrapText="1"/>
    </xf>
    <xf numFmtId="0" fontId="4" fillId="0" borderId="18" xfId="0" applyFont="1" applyBorder="1" applyAlignment="1">
      <alignment horizontal="center" wrapText="1"/>
    </xf>
    <xf numFmtId="0" fontId="4" fillId="2" borderId="19" xfId="0" applyFont="1" applyFill="1" applyBorder="1" applyAlignment="1">
      <alignment horizontal="center" vertical="center" wrapText="1"/>
    </xf>
    <xf numFmtId="168" fontId="4" fillId="0" borderId="1" xfId="0" applyNumberFormat="1" applyFont="1" applyBorder="1" applyAlignment="1">
      <alignment horizontal="center" vertical="center"/>
    </xf>
    <xf numFmtId="168" fontId="4" fillId="0" borderId="1" xfId="0" applyNumberFormat="1" applyFont="1" applyBorder="1" applyAlignment="1">
      <alignment vertical="center"/>
    </xf>
    <xf numFmtId="168" fontId="5" fillId="0" borderId="1" xfId="0" applyNumberFormat="1" applyFont="1" applyBorder="1" applyAlignment="1">
      <alignment horizontal="center" vertical="center"/>
    </xf>
    <xf numFmtId="168" fontId="5" fillId="0" borderId="1" xfId="0" applyNumberFormat="1" applyFont="1" applyBorder="1" applyAlignment="1">
      <alignment vertical="center"/>
    </xf>
    <xf numFmtId="168" fontId="3" fillId="0" borderId="1" xfId="0" applyNumberFormat="1" applyFont="1" applyBorder="1" applyAlignment="1">
      <alignment horizontal="center" vertical="center"/>
    </xf>
    <xf numFmtId="168" fontId="3" fillId="0" borderId="1" xfId="0" applyNumberFormat="1" applyFont="1" applyBorder="1" applyAlignment="1">
      <alignment vertical="center"/>
    </xf>
    <xf numFmtId="0" fontId="6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6" fillId="2" borderId="29" xfId="0" applyFont="1" applyFill="1" applyBorder="1" applyAlignment="1">
      <alignment horizontal="center"/>
    </xf>
    <xf numFmtId="0" fontId="6" fillId="2" borderId="27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167" fontId="11" fillId="0" borderId="22" xfId="0" applyNumberFormat="1" applyFont="1" applyBorder="1" applyAlignment="1">
      <alignment horizontal="center" vertical="center"/>
    </xf>
    <xf numFmtId="167" fontId="11" fillId="0" borderId="4" xfId="0" applyNumberFormat="1" applyFont="1" applyBorder="1" applyAlignment="1">
      <alignment horizontal="center" vertical="center"/>
    </xf>
    <xf numFmtId="167" fontId="11" fillId="0" borderId="23" xfId="0" applyNumberFormat="1" applyFont="1" applyBorder="1" applyAlignment="1">
      <alignment horizontal="center" vertical="center"/>
    </xf>
    <xf numFmtId="168" fontId="4" fillId="0" borderId="1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42" fontId="11" fillId="0" borderId="4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/>
    </xf>
    <xf numFmtId="0" fontId="5" fillId="0" borderId="6" xfId="0" applyFont="1" applyBorder="1" applyAlignment="1">
      <alignment horizontal="left" wrapText="1"/>
    </xf>
    <xf numFmtId="0" fontId="5" fillId="0" borderId="30" xfId="0" applyFont="1" applyBorder="1" applyAlignment="1">
      <alignment horizontal="left" wrapText="1"/>
    </xf>
    <xf numFmtId="0" fontId="5" fillId="0" borderId="7" xfId="0" applyFont="1" applyBorder="1" applyAlignment="1">
      <alignment horizontal="left" wrapText="1"/>
    </xf>
    <xf numFmtId="168" fontId="5" fillId="0" borderId="6" xfId="0" applyNumberFormat="1" applyFont="1" applyBorder="1" applyAlignment="1">
      <alignment horizontal="center" vertical="center"/>
    </xf>
    <xf numFmtId="168" fontId="5" fillId="0" borderId="30" xfId="0" applyNumberFormat="1" applyFont="1" applyBorder="1" applyAlignment="1">
      <alignment horizontal="center" vertical="center"/>
    </xf>
    <xf numFmtId="168" fontId="5" fillId="0" borderId="7" xfId="0" applyNumberFormat="1" applyFont="1" applyBorder="1" applyAlignment="1">
      <alignment horizontal="center" vertical="center"/>
    </xf>
    <xf numFmtId="168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2" borderId="28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42" fontId="11" fillId="0" borderId="23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168" fontId="3" fillId="0" borderId="1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67" fontId="4" fillId="0" borderId="1" xfId="0" applyNumberFormat="1" applyFont="1" applyBorder="1" applyAlignment="1">
      <alignment horizontal="center" vertical="center"/>
    </xf>
    <xf numFmtId="167" fontId="4" fillId="0" borderId="2" xfId="0" applyNumberFormat="1" applyFont="1" applyBorder="1" applyAlignment="1">
      <alignment horizontal="center" vertical="center"/>
    </xf>
    <xf numFmtId="167" fontId="4" fillId="0" borderId="4" xfId="0" applyNumberFormat="1" applyFont="1" applyBorder="1" applyAlignment="1">
      <alignment horizontal="center" vertical="center"/>
    </xf>
    <xf numFmtId="167" fontId="4" fillId="0" borderId="3" xfId="0" applyNumberFormat="1" applyFont="1" applyBorder="1" applyAlignment="1">
      <alignment horizontal="center" vertical="center"/>
    </xf>
    <xf numFmtId="167" fontId="5" fillId="0" borderId="1" xfId="0" applyNumberFormat="1" applyFont="1" applyBorder="1" applyAlignment="1">
      <alignment horizontal="center" vertical="center"/>
    </xf>
    <xf numFmtId="167" fontId="3" fillId="0" borderId="1" xfId="0" applyNumberFormat="1" applyFont="1" applyBorder="1" applyAlignment="1">
      <alignment horizontal="center" vertical="center"/>
    </xf>
    <xf numFmtId="167" fontId="12" fillId="0" borderId="2" xfId="0" applyNumberFormat="1" applyFont="1" applyBorder="1" applyAlignment="1">
      <alignment horizontal="center" vertical="center"/>
    </xf>
    <xf numFmtId="167" fontId="12" fillId="0" borderId="4" xfId="0" applyNumberFormat="1" applyFont="1" applyBorder="1" applyAlignment="1">
      <alignment horizontal="center" vertical="center"/>
    </xf>
    <xf numFmtId="167" fontId="12" fillId="0" borderId="3" xfId="0" applyNumberFormat="1" applyFont="1" applyBorder="1" applyAlignment="1">
      <alignment horizontal="center" vertical="center"/>
    </xf>
    <xf numFmtId="167" fontId="13" fillId="0" borderId="1" xfId="0" applyNumberFormat="1" applyFont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74"/>
  <sheetViews>
    <sheetView tabSelected="1" topLeftCell="C1" zoomScale="80" zoomScaleNormal="80" workbookViewId="0">
      <selection activeCell="R25" sqref="R25"/>
    </sheetView>
  </sheetViews>
  <sheetFormatPr defaultRowHeight="14.4" x14ac:dyDescent="0.3"/>
  <cols>
    <col min="1" max="1" width="25.44140625" customWidth="1"/>
    <col min="2" max="5" width="20.6640625" customWidth="1"/>
    <col min="6" max="6" width="20.88671875" customWidth="1"/>
    <col min="7" max="14" width="20.6640625" customWidth="1"/>
    <col min="15" max="15" width="28.109375" customWidth="1"/>
    <col min="16" max="16" width="20.6640625" customWidth="1"/>
    <col min="17" max="17" width="16.88671875" customWidth="1"/>
    <col min="18" max="18" width="20.77734375" customWidth="1"/>
    <col min="19" max="19" width="17.6640625" customWidth="1"/>
    <col min="20" max="20" width="17.77734375" customWidth="1"/>
    <col min="21" max="21" width="13.77734375" customWidth="1"/>
  </cols>
  <sheetData>
    <row r="1" spans="1:22" ht="20.399999999999999" x14ac:dyDescent="0.35">
      <c r="A1" s="71" t="s">
        <v>9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</row>
    <row r="2" spans="1:22" ht="20.399999999999999" x14ac:dyDescent="0.35">
      <c r="A2" s="72" t="s">
        <v>48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</row>
    <row r="3" spans="1:22" ht="21" thickBot="1" x14ac:dyDescent="0.4">
      <c r="A3" s="73" t="s">
        <v>10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</row>
    <row r="4" spans="1:22" ht="30" customHeight="1" thickBot="1" x14ac:dyDescent="0.4">
      <c r="A4" s="98" t="s">
        <v>12</v>
      </c>
      <c r="B4" s="82" t="s">
        <v>34</v>
      </c>
      <c r="C4" s="83"/>
      <c r="D4" s="84"/>
      <c r="E4" s="82" t="s">
        <v>35</v>
      </c>
      <c r="F4" s="83"/>
      <c r="G4" s="84"/>
      <c r="H4" s="74" t="s">
        <v>8</v>
      </c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6"/>
    </row>
    <row r="5" spans="1:22" ht="109.8" thickBot="1" x14ac:dyDescent="0.35">
      <c r="A5" s="99"/>
      <c r="B5" s="55" t="s">
        <v>3</v>
      </c>
      <c r="C5" s="12" t="s">
        <v>4</v>
      </c>
      <c r="D5" s="13" t="s">
        <v>7</v>
      </c>
      <c r="E5" s="55" t="s">
        <v>5</v>
      </c>
      <c r="F5" s="12" t="s">
        <v>6</v>
      </c>
      <c r="G5" s="13" t="s">
        <v>7</v>
      </c>
      <c r="H5" s="59" t="s">
        <v>36</v>
      </c>
      <c r="I5" s="60" t="s">
        <v>37</v>
      </c>
      <c r="J5" s="61" t="s">
        <v>38</v>
      </c>
      <c r="K5" s="62" t="s">
        <v>39</v>
      </c>
      <c r="L5" s="60" t="s">
        <v>40</v>
      </c>
      <c r="M5" s="61" t="s">
        <v>41</v>
      </c>
      <c r="N5" s="63" t="s">
        <v>42</v>
      </c>
      <c r="O5" s="63" t="s">
        <v>43</v>
      </c>
      <c r="P5" s="63" t="s">
        <v>44</v>
      </c>
      <c r="Q5" s="63" t="s">
        <v>45</v>
      </c>
      <c r="R5" s="63" t="s">
        <v>51</v>
      </c>
      <c r="S5" s="63" t="s">
        <v>52</v>
      </c>
      <c r="T5" s="63" t="s">
        <v>46</v>
      </c>
      <c r="U5" s="64" t="s">
        <v>47</v>
      </c>
    </row>
    <row r="6" spans="1:22" ht="18" thickBot="1" x14ac:dyDescent="0.35">
      <c r="A6" s="4" t="s">
        <v>0</v>
      </c>
      <c r="B6" s="14">
        <v>107334.45</v>
      </c>
      <c r="C6" s="15">
        <v>156265.31</v>
      </c>
      <c r="D6" s="16">
        <f>SUM(B6:C6)</f>
        <v>263599.76</v>
      </c>
      <c r="E6" s="17">
        <v>54879.24</v>
      </c>
      <c r="F6" s="18">
        <v>79897.2</v>
      </c>
      <c r="G6" s="19">
        <v>134776.44</v>
      </c>
      <c r="H6" s="38">
        <f>0.88*B6</f>
        <v>94454.315999999992</v>
      </c>
      <c r="I6" s="39">
        <f>0.88*C6</f>
        <v>137513.47279999999</v>
      </c>
      <c r="J6" s="57">
        <f>H6+I6</f>
        <v>231967.78879999998</v>
      </c>
      <c r="K6" s="37">
        <f>E6*0.88</f>
        <v>48293.731200000002</v>
      </c>
      <c r="L6" s="37">
        <f>F6*0.88</f>
        <v>70309.535999999993</v>
      </c>
      <c r="M6" s="37">
        <f>K6+L6</f>
        <v>118603.2672</v>
      </c>
      <c r="N6" s="86">
        <v>5334</v>
      </c>
      <c r="O6" s="78">
        <f>ROUND(N6/1.95583,2)</f>
        <v>2727.23</v>
      </c>
      <c r="P6" s="86">
        <v>100000</v>
      </c>
      <c r="Q6" s="78">
        <f>ROUND(P6/1.95583,2)</f>
        <v>51129.19</v>
      </c>
      <c r="R6" s="86">
        <v>39801</v>
      </c>
      <c r="S6" s="77">
        <f>R6/1.95583</f>
        <v>20349.928163490691</v>
      </c>
      <c r="T6" s="58">
        <f>J6</f>
        <v>231967.78879999998</v>
      </c>
      <c r="U6" s="51">
        <f>M6</f>
        <v>118603.2672</v>
      </c>
    </row>
    <row r="7" spans="1:22" ht="18" thickBot="1" x14ac:dyDescent="0.35">
      <c r="A7" s="5" t="s">
        <v>1</v>
      </c>
      <c r="B7" s="20">
        <v>5504.95</v>
      </c>
      <c r="C7" s="21">
        <v>6361.38</v>
      </c>
      <c r="D7" s="22">
        <f t="shared" ref="D7:D8" si="0">SUM(B7:C7)</f>
        <v>11866.33</v>
      </c>
      <c r="E7" s="23">
        <v>2814.64</v>
      </c>
      <c r="F7" s="24">
        <v>3252.52</v>
      </c>
      <c r="G7" s="19">
        <v>6067.16</v>
      </c>
      <c r="H7" s="38">
        <f t="shared" ref="H7:H8" si="1">0.88*B7</f>
        <v>4844.3559999999998</v>
      </c>
      <c r="I7" s="39">
        <f t="shared" ref="I7:I8" si="2">0.88*C7</f>
        <v>5598.0144</v>
      </c>
      <c r="J7" s="40">
        <f t="shared" ref="J7:J9" si="3">H7+I7</f>
        <v>10442.3704</v>
      </c>
      <c r="K7" s="36">
        <f t="shared" ref="K7:K8" si="4">E7*0.88</f>
        <v>2476.8831999999998</v>
      </c>
      <c r="L7" s="36">
        <f t="shared" ref="L7:L9" si="5">F7*0.88</f>
        <v>2862.2175999999999</v>
      </c>
      <c r="M7" s="36">
        <f t="shared" ref="M7:M9" si="6">K7+L7</f>
        <v>5339.1008000000002</v>
      </c>
      <c r="N7" s="86"/>
      <c r="O7" s="78"/>
      <c r="P7" s="86"/>
      <c r="Q7" s="78"/>
      <c r="R7" s="86"/>
      <c r="S7" s="78"/>
      <c r="T7" s="53">
        <f t="shared" ref="T7:T8" si="7">J7</f>
        <v>10442.3704</v>
      </c>
      <c r="U7" s="51">
        <f t="shared" ref="U7:U8" si="8">M7</f>
        <v>5339.1008000000002</v>
      </c>
    </row>
    <row r="8" spans="1:22" ht="18" thickBot="1" x14ac:dyDescent="0.35">
      <c r="A8" s="6" t="s">
        <v>2</v>
      </c>
      <c r="B8" s="25">
        <v>7695.98</v>
      </c>
      <c r="C8" s="26">
        <v>2303.88</v>
      </c>
      <c r="D8" s="27">
        <f t="shared" si="0"/>
        <v>9999.86</v>
      </c>
      <c r="E8" s="28">
        <v>3934.89</v>
      </c>
      <c r="F8" s="29">
        <v>1177.96</v>
      </c>
      <c r="G8" s="19">
        <v>5112.8500000000004</v>
      </c>
      <c r="H8" s="38">
        <f t="shared" si="1"/>
        <v>6772.4623999999994</v>
      </c>
      <c r="I8" s="39">
        <f t="shared" si="2"/>
        <v>2027.4144000000001</v>
      </c>
      <c r="J8" s="40">
        <f t="shared" si="3"/>
        <v>8799.8768</v>
      </c>
      <c r="K8" s="36">
        <f t="shared" si="4"/>
        <v>3462.7031999999999</v>
      </c>
      <c r="L8" s="36">
        <f t="shared" si="5"/>
        <v>1036.6048000000001</v>
      </c>
      <c r="M8" s="36">
        <f t="shared" si="6"/>
        <v>4499.308</v>
      </c>
      <c r="N8" s="102"/>
      <c r="O8" s="79"/>
      <c r="P8" s="86"/>
      <c r="Q8" s="79"/>
      <c r="R8" s="86"/>
      <c r="S8" s="79"/>
      <c r="T8" s="53">
        <f t="shared" si="7"/>
        <v>8799.8768</v>
      </c>
      <c r="U8" s="51">
        <f t="shared" si="8"/>
        <v>4499.308</v>
      </c>
    </row>
    <row r="9" spans="1:22" ht="18.600000000000001" thickBot="1" x14ac:dyDescent="0.4">
      <c r="A9" s="3" t="s">
        <v>13</v>
      </c>
      <c r="B9" s="30">
        <v>120535.37999999999</v>
      </c>
      <c r="C9" s="31">
        <v>164930.57</v>
      </c>
      <c r="D9" s="32">
        <f t="shared" ref="D9" si="9">SUM(D6:D8)</f>
        <v>285465.95</v>
      </c>
      <c r="E9" s="33">
        <v>61628.77</v>
      </c>
      <c r="F9" s="34">
        <v>84327.680000000008</v>
      </c>
      <c r="G9" s="35">
        <v>145956.45000000001</v>
      </c>
      <c r="H9" s="41">
        <f>0.88*B9</f>
        <v>106071.1344</v>
      </c>
      <c r="I9" s="42">
        <f>0.88*C9</f>
        <v>145138.90160000001</v>
      </c>
      <c r="J9" s="43">
        <f t="shared" si="3"/>
        <v>251210.03600000002</v>
      </c>
      <c r="K9" s="44">
        <f>E9*0.88</f>
        <v>54233.317599999995</v>
      </c>
      <c r="L9" s="45">
        <f t="shared" si="5"/>
        <v>74208.358400000012</v>
      </c>
      <c r="M9" s="46">
        <f t="shared" si="6"/>
        <v>128441.67600000001</v>
      </c>
      <c r="N9" s="47">
        <f>N6</f>
        <v>5334</v>
      </c>
      <c r="O9" s="48">
        <f>ROUND(N9/1.95583,2)</f>
        <v>2727.23</v>
      </c>
      <c r="P9" s="49">
        <f>P6</f>
        <v>100000</v>
      </c>
      <c r="Q9" s="50">
        <f>ROUND(P9/1.95583,2)</f>
        <v>51129.19</v>
      </c>
      <c r="R9" s="49">
        <f>R6</f>
        <v>39801</v>
      </c>
      <c r="S9" s="50">
        <f>R9/1.95583</f>
        <v>20349.928163490691</v>
      </c>
      <c r="T9" s="54">
        <f>J9+N9+P9+R9</f>
        <v>396345.03600000002</v>
      </c>
      <c r="U9" s="52">
        <f>M9+O9+Q9+S9</f>
        <v>202648.02416349071</v>
      </c>
      <c r="V9" s="7"/>
    </row>
    <row r="10" spans="1:22" ht="14.4" customHeight="1" x14ac:dyDescent="0.3">
      <c r="B10" s="1"/>
      <c r="C10" s="1"/>
      <c r="K10" s="7"/>
      <c r="L10" s="7"/>
    </row>
    <row r="12" spans="1:22" ht="15.75" customHeight="1" x14ac:dyDescent="0.35">
      <c r="A12" s="81" t="s">
        <v>11</v>
      </c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11"/>
    </row>
    <row r="13" spans="1:22" ht="15.75" customHeight="1" x14ac:dyDescent="0.3">
      <c r="A13" s="85" t="s">
        <v>14</v>
      </c>
      <c r="B13" s="85"/>
      <c r="C13" s="85"/>
      <c r="D13" s="85"/>
      <c r="E13" s="85"/>
      <c r="F13" s="85"/>
      <c r="G13" s="85" t="s">
        <v>12</v>
      </c>
      <c r="H13" s="85"/>
      <c r="I13" s="85"/>
      <c r="J13" s="85"/>
      <c r="K13" s="85"/>
      <c r="L13" s="85"/>
      <c r="M13" s="85"/>
      <c r="N13" s="10"/>
      <c r="O13" s="106" t="s">
        <v>13</v>
      </c>
      <c r="P13" s="107"/>
      <c r="R13" s="56"/>
    </row>
    <row r="14" spans="1:22" ht="15.75" customHeight="1" x14ac:dyDescent="0.3">
      <c r="A14" s="97"/>
      <c r="B14" s="97"/>
      <c r="C14" s="97"/>
      <c r="D14" s="97"/>
      <c r="E14" s="97"/>
      <c r="F14" s="97"/>
      <c r="G14" s="100" t="s">
        <v>18</v>
      </c>
      <c r="H14" s="100"/>
      <c r="I14" s="100"/>
      <c r="J14" s="100"/>
      <c r="K14" s="101" t="s">
        <v>19</v>
      </c>
      <c r="L14" s="101"/>
      <c r="M14" s="101" t="s">
        <v>20</v>
      </c>
      <c r="N14" s="101"/>
      <c r="O14" s="106"/>
      <c r="P14" s="107"/>
    </row>
    <row r="15" spans="1:22" ht="15.75" customHeight="1" x14ac:dyDescent="0.3">
      <c r="A15" s="87" t="s">
        <v>17</v>
      </c>
      <c r="B15" s="87"/>
      <c r="C15" s="87"/>
      <c r="D15" s="87"/>
      <c r="E15" s="87"/>
      <c r="F15" s="87"/>
      <c r="G15" s="80">
        <f>(5*50)+(1*320)</f>
        <v>570</v>
      </c>
      <c r="H15" s="80"/>
      <c r="I15" s="80"/>
      <c r="J15" s="108">
        <f>ROUND(G15/1.95583,2)</f>
        <v>291.44</v>
      </c>
      <c r="K15" s="65">
        <f>SUM(2*50+1*320)</f>
        <v>420</v>
      </c>
      <c r="L15" s="108">
        <f>ROUND(K15/1.95583,2)</f>
        <v>214.74</v>
      </c>
      <c r="M15" s="65">
        <f>1*320</f>
        <v>320</v>
      </c>
      <c r="N15" s="108">
        <f>ROUND(M15/1.95583,2)</f>
        <v>163.61000000000001</v>
      </c>
      <c r="O15" s="66">
        <f>G15+K15+M15</f>
        <v>1310</v>
      </c>
      <c r="P15" s="108">
        <f>J15+L15+N15</f>
        <v>669.79</v>
      </c>
    </row>
    <row r="16" spans="1:22" ht="49.5" customHeight="1" x14ac:dyDescent="0.3">
      <c r="A16" s="88" t="s">
        <v>15</v>
      </c>
      <c r="B16" s="87"/>
      <c r="C16" s="87"/>
      <c r="D16" s="87"/>
      <c r="E16" s="87"/>
      <c r="F16" s="87"/>
      <c r="G16" s="80">
        <f>O16*0.8</f>
        <v>160943.52000000002</v>
      </c>
      <c r="H16" s="80"/>
      <c r="I16" s="80"/>
      <c r="J16" s="108">
        <f>ROUND(G16/1.95583,2)</f>
        <v>82289.119999999995</v>
      </c>
      <c r="K16" s="65">
        <f>O16*0.1</f>
        <v>20117.940000000002</v>
      </c>
      <c r="L16" s="108">
        <f>ROUND(K16/1.95583,2)</f>
        <v>10286.14</v>
      </c>
      <c r="M16" s="65">
        <f>O16*0.1</f>
        <v>20117.940000000002</v>
      </c>
      <c r="N16" s="108">
        <f>ROUND(M16/1.95583,2)</f>
        <v>10286.14</v>
      </c>
      <c r="O16" s="66">
        <v>201179.4</v>
      </c>
      <c r="P16" s="108">
        <f>J16+L16+N16</f>
        <v>102861.4</v>
      </c>
      <c r="Q16" s="8"/>
    </row>
    <row r="17" spans="1:18" ht="15.75" customHeight="1" x14ac:dyDescent="0.3">
      <c r="A17" s="88" t="s">
        <v>16</v>
      </c>
      <c r="B17" s="88"/>
      <c r="C17" s="88"/>
      <c r="D17" s="88"/>
      <c r="E17" s="88"/>
      <c r="F17" s="88"/>
      <c r="G17" s="80">
        <f>SUM(G22:I25)</f>
        <v>142040.06</v>
      </c>
      <c r="H17" s="80"/>
      <c r="I17" s="80"/>
      <c r="J17" s="109">
        <f>SUM(J22:J25)</f>
        <v>72623.929999999993</v>
      </c>
      <c r="K17" s="80">
        <f>SUM(K22:K25)</f>
        <v>21908.12</v>
      </c>
      <c r="L17" s="109">
        <f>SUM(L22:L25)</f>
        <v>11201.45</v>
      </c>
      <c r="M17" s="80">
        <f>SUM(M22:M25)</f>
        <v>21908.12</v>
      </c>
      <c r="N17" s="109">
        <f>SUM(N22:N25)</f>
        <v>11201.45</v>
      </c>
      <c r="O17" s="80">
        <f>ROUND(G17+K17+M17,0)</f>
        <v>185856</v>
      </c>
      <c r="P17" s="114">
        <f>J17+L17+N17</f>
        <v>95026.829999999987</v>
      </c>
    </row>
    <row r="18" spans="1:18" ht="15.75" customHeight="1" x14ac:dyDescent="0.3">
      <c r="A18" s="88"/>
      <c r="B18" s="88"/>
      <c r="C18" s="88"/>
      <c r="D18" s="88"/>
      <c r="E18" s="88"/>
      <c r="F18" s="88"/>
      <c r="G18" s="80"/>
      <c r="H18" s="80"/>
      <c r="I18" s="80"/>
      <c r="J18" s="110"/>
      <c r="K18" s="80"/>
      <c r="L18" s="110"/>
      <c r="M18" s="80"/>
      <c r="N18" s="110"/>
      <c r="O18" s="80"/>
      <c r="P18" s="115"/>
    </row>
    <row r="19" spans="1:18" ht="32.25" customHeight="1" x14ac:dyDescent="0.3">
      <c r="A19" s="88"/>
      <c r="B19" s="88"/>
      <c r="C19" s="88"/>
      <c r="D19" s="88"/>
      <c r="E19" s="88"/>
      <c r="F19" s="88"/>
      <c r="G19" s="80"/>
      <c r="H19" s="80"/>
      <c r="I19" s="80"/>
      <c r="J19" s="110"/>
      <c r="K19" s="80"/>
      <c r="L19" s="110"/>
      <c r="M19" s="80"/>
      <c r="N19" s="110"/>
      <c r="O19" s="80"/>
      <c r="P19" s="115"/>
      <c r="R19" s="56"/>
    </row>
    <row r="20" spans="1:18" ht="15.75" customHeight="1" x14ac:dyDescent="0.3">
      <c r="A20" s="88"/>
      <c r="B20" s="88"/>
      <c r="C20" s="88"/>
      <c r="D20" s="88"/>
      <c r="E20" s="88"/>
      <c r="F20" s="88"/>
      <c r="G20" s="80"/>
      <c r="H20" s="80"/>
      <c r="I20" s="80"/>
      <c r="J20" s="110"/>
      <c r="K20" s="80"/>
      <c r="L20" s="110"/>
      <c r="M20" s="80"/>
      <c r="N20" s="110"/>
      <c r="O20" s="80"/>
      <c r="P20" s="115"/>
    </row>
    <row r="21" spans="1:18" ht="15.75" customHeight="1" x14ac:dyDescent="0.3">
      <c r="A21" s="88"/>
      <c r="B21" s="88"/>
      <c r="C21" s="88"/>
      <c r="D21" s="88"/>
      <c r="E21" s="88"/>
      <c r="F21" s="88"/>
      <c r="G21" s="80"/>
      <c r="H21" s="80"/>
      <c r="I21" s="80"/>
      <c r="J21" s="111"/>
      <c r="K21" s="80"/>
      <c r="L21" s="111"/>
      <c r="M21" s="80"/>
      <c r="N21" s="111"/>
      <c r="O21" s="80"/>
      <c r="P21" s="116"/>
    </row>
    <row r="22" spans="1:18" ht="31.5" customHeight="1" x14ac:dyDescent="0.3">
      <c r="A22" s="90" t="s">
        <v>49</v>
      </c>
      <c r="B22" s="91"/>
      <c r="C22" s="91"/>
      <c r="D22" s="91"/>
      <c r="E22" s="91"/>
      <c r="F22" s="92"/>
      <c r="G22" s="93">
        <f>3.11*456</f>
        <v>1418.1599999999999</v>
      </c>
      <c r="H22" s="94"/>
      <c r="I22" s="95"/>
      <c r="J22" s="112">
        <f>ROUND(G22/1.95583,2)</f>
        <v>725.09</v>
      </c>
      <c r="K22" s="67">
        <f>SUM(3.11*72)</f>
        <v>223.92</v>
      </c>
      <c r="L22" s="112">
        <f>ROUND(K22/1.95583,2)</f>
        <v>114.49</v>
      </c>
      <c r="M22" s="67">
        <f>SUM(3.11*72)</f>
        <v>223.92</v>
      </c>
      <c r="N22" s="112">
        <f>ROUND(M22/1.95583,2)</f>
        <v>114.49</v>
      </c>
      <c r="O22" s="68">
        <f>ROUND(G22+K22+M22,0)</f>
        <v>1866</v>
      </c>
      <c r="P22" s="117">
        <f>J22+L22+N22</f>
        <v>954.07</v>
      </c>
    </row>
    <row r="23" spans="1:18" ht="30.75" customHeight="1" x14ac:dyDescent="0.3">
      <c r="A23" s="90" t="s">
        <v>50</v>
      </c>
      <c r="B23" s="91"/>
      <c r="C23" s="91"/>
      <c r="D23" s="91"/>
      <c r="E23" s="91"/>
      <c r="F23" s="92"/>
      <c r="G23" s="93">
        <f>95*456</f>
        <v>43320</v>
      </c>
      <c r="H23" s="94"/>
      <c r="I23" s="95"/>
      <c r="J23" s="112">
        <f t="shared" ref="J23:J25" si="10">ROUND(G23/1.95583,2)</f>
        <v>22149.16</v>
      </c>
      <c r="K23" s="67">
        <f>SUM(95*72)</f>
        <v>6840</v>
      </c>
      <c r="L23" s="112">
        <f t="shared" ref="L23:L25" si="11">ROUND(K23/1.95583,2)</f>
        <v>3497.24</v>
      </c>
      <c r="M23" s="67">
        <f>SUM(95*72)</f>
        <v>6840</v>
      </c>
      <c r="N23" s="112">
        <f t="shared" ref="N23:N25" si="12">ROUND(M23/1.95583,2)</f>
        <v>3497.24</v>
      </c>
      <c r="O23" s="68">
        <f t="shared" ref="O23:O26" si="13">G23+K23+M23</f>
        <v>57000</v>
      </c>
      <c r="P23" s="117">
        <f t="shared" ref="P23:P25" si="14">J23+L23+N23</f>
        <v>29143.64</v>
      </c>
    </row>
    <row r="24" spans="1:18" ht="15.75" customHeight="1" x14ac:dyDescent="0.3">
      <c r="A24" s="89" t="s">
        <v>22</v>
      </c>
      <c r="B24" s="89"/>
      <c r="C24" s="89"/>
      <c r="D24" s="89"/>
      <c r="E24" s="89"/>
      <c r="F24" s="89"/>
      <c r="G24" s="96">
        <f>456*81.6</f>
        <v>37209.599999999999</v>
      </c>
      <c r="H24" s="96"/>
      <c r="I24" s="96"/>
      <c r="J24" s="112">
        <f t="shared" si="10"/>
        <v>19024.97</v>
      </c>
      <c r="K24" s="67">
        <f>SUM(72*81.6)</f>
        <v>5875.2</v>
      </c>
      <c r="L24" s="112">
        <f t="shared" si="11"/>
        <v>3003.94</v>
      </c>
      <c r="M24" s="67">
        <f>SUM(72*81.6)</f>
        <v>5875.2</v>
      </c>
      <c r="N24" s="112">
        <f t="shared" si="12"/>
        <v>3003.94</v>
      </c>
      <c r="O24" s="68">
        <f t="shared" si="13"/>
        <v>48959.999999999993</v>
      </c>
      <c r="P24" s="117">
        <f t="shared" si="14"/>
        <v>25032.85</v>
      </c>
    </row>
    <row r="25" spans="1:18" ht="15.75" customHeight="1" x14ac:dyDescent="0.3">
      <c r="A25" s="89" t="s">
        <v>33</v>
      </c>
      <c r="B25" s="89"/>
      <c r="C25" s="89"/>
      <c r="D25" s="89"/>
      <c r="E25" s="89"/>
      <c r="F25" s="89"/>
      <c r="G25" s="96">
        <f>670*89.69</f>
        <v>60092.299999999996</v>
      </c>
      <c r="H25" s="96"/>
      <c r="I25" s="96"/>
      <c r="J25" s="112">
        <f t="shared" si="10"/>
        <v>30724.71</v>
      </c>
      <c r="K25" s="67">
        <f>SUM(100*89.69)</f>
        <v>8969</v>
      </c>
      <c r="L25" s="112">
        <f t="shared" si="11"/>
        <v>4585.78</v>
      </c>
      <c r="M25" s="67">
        <f>SUM(100*89.69)</f>
        <v>8969</v>
      </c>
      <c r="N25" s="112">
        <f t="shared" si="12"/>
        <v>4585.78</v>
      </c>
      <c r="O25" s="68">
        <f>G25+K25+M25</f>
        <v>78030.299999999988</v>
      </c>
      <c r="P25" s="117">
        <f t="shared" si="14"/>
        <v>39896.269999999997</v>
      </c>
    </row>
    <row r="26" spans="1:18" ht="77.25" customHeight="1" x14ac:dyDescent="0.3">
      <c r="A26" s="88" t="s">
        <v>21</v>
      </c>
      <c r="B26" s="88"/>
      <c r="C26" s="88"/>
      <c r="D26" s="88"/>
      <c r="E26" s="88"/>
      <c r="F26" s="88"/>
      <c r="G26" s="80">
        <v>4000</v>
      </c>
      <c r="H26" s="80"/>
      <c r="I26" s="80"/>
      <c r="J26" s="108">
        <f>ROUND(G26/1.95583,2)</f>
        <v>2045.17</v>
      </c>
      <c r="K26" s="65">
        <v>1950</v>
      </c>
      <c r="L26" s="108">
        <f>ROUND(K26/1.95583,2)</f>
        <v>997.02</v>
      </c>
      <c r="M26" s="65">
        <v>2050</v>
      </c>
      <c r="N26" s="108">
        <f>ROUND(M26/1.95583,2)</f>
        <v>1048.1500000000001</v>
      </c>
      <c r="O26" s="66">
        <f t="shared" si="13"/>
        <v>8000</v>
      </c>
      <c r="P26" s="108">
        <f>J26+L26+N26</f>
        <v>4090.34</v>
      </c>
    </row>
    <row r="27" spans="1:18" ht="15.75" customHeight="1" x14ac:dyDescent="0.3">
      <c r="A27" s="104" t="s">
        <v>13</v>
      </c>
      <c r="B27" s="104"/>
      <c r="C27" s="104"/>
      <c r="D27" s="104"/>
      <c r="E27" s="104"/>
      <c r="F27" s="104"/>
      <c r="G27" s="105">
        <f>G15+G16+G17+G26</f>
        <v>307553.58</v>
      </c>
      <c r="H27" s="105"/>
      <c r="I27" s="105"/>
      <c r="J27" s="113">
        <f t="shared" ref="J27:O27" si="15">J15+J16+J17+J26</f>
        <v>157249.66</v>
      </c>
      <c r="K27" s="69">
        <f t="shared" si="15"/>
        <v>44396.06</v>
      </c>
      <c r="L27" s="113">
        <f t="shared" si="15"/>
        <v>22699.350000000002</v>
      </c>
      <c r="M27" s="69">
        <f t="shared" si="15"/>
        <v>44396.06</v>
      </c>
      <c r="N27" s="113">
        <f t="shared" si="15"/>
        <v>22699.350000000002</v>
      </c>
      <c r="O27" s="70">
        <f t="shared" si="15"/>
        <v>396345.4</v>
      </c>
      <c r="P27" s="113">
        <f>J27+L27+N27</f>
        <v>202648.36000000002</v>
      </c>
    </row>
    <row r="29" spans="1:18" ht="18" x14ac:dyDescent="0.35">
      <c r="A29" s="103"/>
      <c r="B29" s="103"/>
      <c r="C29" s="103"/>
      <c r="D29" s="103"/>
      <c r="E29" s="103"/>
      <c r="F29" s="103"/>
      <c r="G29" s="103"/>
      <c r="H29" s="103"/>
      <c r="I29" s="103"/>
      <c r="J29" s="103"/>
      <c r="K29" s="103"/>
      <c r="L29" s="103"/>
      <c r="M29" s="103"/>
      <c r="N29" s="103"/>
      <c r="O29" s="103"/>
    </row>
    <row r="31" spans="1:18" ht="15.6" x14ac:dyDescent="0.3">
      <c r="A31" s="9" t="s">
        <v>23</v>
      </c>
      <c r="B31" s="9"/>
      <c r="C31" s="9"/>
      <c r="D31" s="9"/>
      <c r="E31" s="9"/>
      <c r="F31" s="9"/>
      <c r="G31" s="9" t="s">
        <v>24</v>
      </c>
      <c r="H31" s="9"/>
    </row>
    <row r="32" spans="1:18" ht="15.6" x14ac:dyDescent="0.3">
      <c r="A32" s="9" t="s">
        <v>29</v>
      </c>
      <c r="B32" s="9"/>
      <c r="C32" s="9"/>
      <c r="D32" s="9"/>
      <c r="E32" s="9"/>
      <c r="F32" s="9"/>
      <c r="G32" s="9" t="s">
        <v>26</v>
      </c>
      <c r="H32" s="9"/>
    </row>
    <row r="33" spans="1:1" ht="15.6" x14ac:dyDescent="0.3">
      <c r="A33" s="9" t="s">
        <v>32</v>
      </c>
    </row>
    <row r="35" spans="1:1" ht="15.6" x14ac:dyDescent="0.3">
      <c r="A35" s="9" t="s">
        <v>28</v>
      </c>
    </row>
    <row r="36" spans="1:1" ht="15.6" x14ac:dyDescent="0.3">
      <c r="A36" s="9" t="s">
        <v>25</v>
      </c>
    </row>
    <row r="37" spans="1:1" ht="15.6" x14ac:dyDescent="0.3">
      <c r="A37" s="9" t="s">
        <v>27</v>
      </c>
    </row>
    <row r="39" spans="1:1" ht="15.6" x14ac:dyDescent="0.3">
      <c r="A39" s="9" t="s">
        <v>28</v>
      </c>
    </row>
    <row r="40" spans="1:1" ht="15.6" x14ac:dyDescent="0.3">
      <c r="A40" s="9" t="s">
        <v>30</v>
      </c>
    </row>
    <row r="41" spans="1:1" ht="15.6" x14ac:dyDescent="0.3">
      <c r="A41" s="9" t="s">
        <v>31</v>
      </c>
    </row>
    <row r="66" spans="1:7" ht="15" customHeight="1" x14ac:dyDescent="0.3">
      <c r="A66" s="2"/>
      <c r="B66" s="2"/>
      <c r="C66" s="2"/>
      <c r="D66" s="2"/>
      <c r="E66" s="2"/>
      <c r="F66" s="2"/>
    </row>
    <row r="67" spans="1:7" ht="15" customHeight="1" x14ac:dyDescent="0.3">
      <c r="A67" s="2"/>
      <c r="B67" s="2"/>
      <c r="C67" s="2"/>
      <c r="D67" s="2"/>
      <c r="E67" s="2"/>
      <c r="F67" s="2"/>
    </row>
    <row r="68" spans="1:7" ht="15" customHeight="1" x14ac:dyDescent="0.3">
      <c r="B68" s="2"/>
      <c r="C68" s="2"/>
      <c r="D68" s="2"/>
      <c r="E68" s="2"/>
      <c r="F68" s="2"/>
    </row>
    <row r="72" spans="1:7" ht="15.6" x14ac:dyDescent="0.3">
      <c r="G72" s="2"/>
    </row>
    <row r="73" spans="1:7" ht="15.6" x14ac:dyDescent="0.3">
      <c r="G73" s="2"/>
    </row>
    <row r="74" spans="1:7" ht="15.6" x14ac:dyDescent="0.3">
      <c r="G74" s="2"/>
    </row>
  </sheetData>
  <mergeCells count="48">
    <mergeCell ref="O13:P13"/>
    <mergeCell ref="P17:P21"/>
    <mergeCell ref="O14:P14"/>
    <mergeCell ref="A29:O29"/>
    <mergeCell ref="A27:F27"/>
    <mergeCell ref="A26:F26"/>
    <mergeCell ref="G27:I27"/>
    <mergeCell ref="G26:I26"/>
    <mergeCell ref="A25:F25"/>
    <mergeCell ref="G25:I25"/>
    <mergeCell ref="G24:I24"/>
    <mergeCell ref="G13:M13"/>
    <mergeCell ref="A14:F14"/>
    <mergeCell ref="G14:J14"/>
    <mergeCell ref="K14:L14"/>
    <mergeCell ref="M14:N14"/>
    <mergeCell ref="J17:J21"/>
    <mergeCell ref="L17:L21"/>
    <mergeCell ref="N17:N21"/>
    <mergeCell ref="A24:F24"/>
    <mergeCell ref="A23:F23"/>
    <mergeCell ref="A22:F22"/>
    <mergeCell ref="G23:I23"/>
    <mergeCell ref="G22:I22"/>
    <mergeCell ref="O17:O21"/>
    <mergeCell ref="M17:M21"/>
    <mergeCell ref="K17:K21"/>
    <mergeCell ref="A12:O12"/>
    <mergeCell ref="B4:D4"/>
    <mergeCell ref="A13:F13"/>
    <mergeCell ref="E4:G4"/>
    <mergeCell ref="A15:F15"/>
    <mergeCell ref="G15:I15"/>
    <mergeCell ref="A16:F16"/>
    <mergeCell ref="A17:F21"/>
    <mergeCell ref="G16:I16"/>
    <mergeCell ref="G17:I21"/>
    <mergeCell ref="A4:A5"/>
    <mergeCell ref="N6:N8"/>
    <mergeCell ref="O6:O8"/>
    <mergeCell ref="A1:U1"/>
    <mergeCell ref="A2:U2"/>
    <mergeCell ref="A3:U3"/>
    <mergeCell ref="H4:U4"/>
    <mergeCell ref="S6:S8"/>
    <mergeCell ref="P6:P8"/>
    <mergeCell ref="R6:R8"/>
    <mergeCell ref="Q6:Q8"/>
  </mergeCells>
  <pageMargins left="0.70866141732283472" right="0.70866141732283472" top="0.74803149606299213" bottom="0.74803149606299213" header="0.31496062992125984" footer="0.31496062992125984"/>
  <pageSetup paperSize="9" scale="3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32" sqref="C32"/>
    </sheetView>
  </sheetViews>
  <sheetFormatPr defaultRowHeight="14.4" x14ac:dyDescent="0.3"/>
  <cols>
    <col min="5" max="5" width="11" bestFit="1" customWidth="1"/>
    <col min="6" max="6" width="10" bestFit="1" customWidth="1"/>
    <col min="10" max="10" width="10" bestFit="1" customWidth="1"/>
    <col min="11" max="11" width="11" bestFit="1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Scetovodstvo</dc:creator>
  <cp:lastModifiedBy>Исмаил Църенски</cp:lastModifiedBy>
  <cp:lastPrinted>2025-12-03T12:19:50Z</cp:lastPrinted>
  <dcterms:created xsi:type="dcterms:W3CDTF">2015-12-12T07:05:07Z</dcterms:created>
  <dcterms:modified xsi:type="dcterms:W3CDTF">2025-12-03T14:36:46Z</dcterms:modified>
</cp:coreProperties>
</file>